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wsaaenmaas-my.sharepoint.com/personal/isanders_aaenmaas_nl/Documents/Documenten/Innovatie/Natte teelten/"/>
    </mc:Choice>
  </mc:AlternateContent>
  <xr:revisionPtr revIDLastSave="294" documentId="8_{4F318F83-3A33-4E21-8BAC-14A62451248F}" xr6:coauthVersionLast="47" xr6:coauthVersionMax="47" xr10:uidLastSave="{5737DD54-F68F-4906-A571-65A5939D1F5E}"/>
  <bookViews>
    <workbookView xWindow="28680" yWindow="-5310" windowWidth="29040" windowHeight="15840" tabRatio="741" firstSheet="1" activeTab="1" xr2:uid="{DFE20896-5CA9-664B-BB43-842472BF4D55}"/>
  </bookViews>
  <sheets>
    <sheet name="Instructie" sheetId="35" r:id="rId1"/>
    <sheet name="SAMENVATTING" sheetId="33" r:id="rId2"/>
    <sheet name="Grote lisdodde" sheetId="25" r:id="rId3"/>
    <sheet name="Kleine lisdodde" sheetId="40" r:id="rId4"/>
    <sheet name="Riet" sheetId="30" r:id="rId5"/>
    <sheet name="Miscanthus" sheetId="31" r:id="rId6"/>
    <sheet name="Hennep" sheetId="29" r:id="rId7"/>
    <sheet name="Gewas vrij invulbaar" sheetId="34" r:id="rId8"/>
    <sheet name="Vergelijk Melkvee BBPR" sheetId="27" r:id="rId9"/>
    <sheet name="Marktomvang" sheetId="32" r:id="rId10"/>
    <sheet name="DATA - Variabelen &amp; waarden" sheetId="1" r:id="rId11"/>
  </sheets>
  <externalReferences>
    <externalReference r:id="rId1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8" i="1" l="1"/>
  <c r="D29" i="33"/>
  <c r="D28" i="33"/>
  <c r="D27" i="33"/>
  <c r="D26" i="33"/>
  <c r="D25" i="33"/>
  <c r="D24" i="33"/>
  <c r="D10" i="33"/>
  <c r="D9" i="33"/>
  <c r="D8" i="33"/>
  <c r="D2" i="33"/>
  <c r="G2" i="33"/>
  <c r="F2" i="33"/>
  <c r="E2" i="33"/>
  <c r="C2" i="33"/>
  <c r="I130" i="40" a="1"/>
  <c r="I130" i="40" s="1"/>
  <c r="I128" i="40" a="1"/>
  <c r="I128" i="40" s="1"/>
  <c r="F127" i="40"/>
  <c r="I126" i="40" a="1"/>
  <c r="I126" i="40" s="1"/>
  <c r="F121" i="40"/>
  <c r="O115" i="40" a="1"/>
  <c r="O115" i="40" s="1"/>
  <c r="O111" i="40" a="1"/>
  <c r="O111" i="40" s="1"/>
  <c r="I111" i="40" a="1"/>
  <c r="I111" i="40" s="1"/>
  <c r="O110" i="40"/>
  <c r="F110" i="40"/>
  <c r="B100" i="40" s="1"/>
  <c r="I109" i="40" a="1"/>
  <c r="I109" i="40" s="1"/>
  <c r="O107" i="40" a="1"/>
  <c r="O107" i="40" s="1"/>
  <c r="O106" i="40"/>
  <c r="F104" i="40"/>
  <c r="O103" i="40" a="1"/>
  <c r="O103" i="40" s="1"/>
  <c r="C103" i="40"/>
  <c r="C102" i="40"/>
  <c r="B102" i="40"/>
  <c r="I101" i="40" a="1"/>
  <c r="I101" i="40" s="1"/>
  <c r="L100" i="40"/>
  <c r="O100" i="40" s="1" a="1"/>
  <c r="O100" i="40" s="1"/>
  <c r="C100" i="40"/>
  <c r="B94" i="40"/>
  <c r="G88" i="40"/>
  <c r="O82" i="40" a="1"/>
  <c r="O82" i="40" s="1"/>
  <c r="O80" i="40" a="1"/>
  <c r="O80" i="40" s="1"/>
  <c r="L78" i="40" a="1"/>
  <c r="L78" i="40" s="1"/>
  <c r="B48" i="40" s="1"/>
  <c r="B25" i="40" s="1"/>
  <c r="F69" i="40" a="1"/>
  <c r="F69" i="40" s="1"/>
  <c r="I69" i="40" s="1" a="1"/>
  <c r="I69" i="40" s="1"/>
  <c r="L65" i="40" a="1"/>
  <c r="L65" i="40" s="1"/>
  <c r="B46" i="40" s="1"/>
  <c r="B18" i="40" s="1"/>
  <c r="L60" i="40" a="1"/>
  <c r="O62" i="40" s="1" a="1"/>
  <c r="O62" i="40" s="1"/>
  <c r="F46" i="40" a="1"/>
  <c r="I60" i="40" s="1" a="1"/>
  <c r="I60" i="40" s="1"/>
  <c r="I43" i="40"/>
  <c r="C43" i="40" s="1"/>
  <c r="B43" i="40"/>
  <c r="L42" i="40" a="1"/>
  <c r="O57" i="40" s="1" a="1"/>
  <c r="O57" i="40" s="1"/>
  <c r="C40" i="40"/>
  <c r="B15" i="40"/>
  <c r="C10" i="40"/>
  <c r="C9" i="33"/>
  <c r="E9" i="33"/>
  <c r="D10" i="27"/>
  <c r="H14" i="27"/>
  <c r="C103" i="30"/>
  <c r="O44" i="40" l="1" a="1"/>
  <c r="O44" i="40" s="1"/>
  <c r="L60" i="40"/>
  <c r="B45" i="40" s="1"/>
  <c r="B17" i="40" s="1"/>
  <c r="O61" i="40" a="1"/>
  <c r="O61" i="40" s="1"/>
  <c r="O46" i="40" a="1"/>
  <c r="O46" i="40" s="1"/>
  <c r="O56" i="40" a="1"/>
  <c r="O56" i="40" s="1"/>
  <c r="M58" i="40" s="1"/>
  <c r="O58" i="40" s="1"/>
  <c r="O63" i="40" a="1"/>
  <c r="O63" i="40" s="1"/>
  <c r="O60" i="40" s="1"/>
  <c r="C45" i="40" s="1"/>
  <c r="C17" i="40" s="1"/>
  <c r="D15" i="33" s="1"/>
  <c r="I49" i="40" a="1"/>
  <c r="I49" i="40" s="1"/>
  <c r="I58" i="40" a="1"/>
  <c r="I58" i="40" s="1"/>
  <c r="O66" i="40" a="1"/>
  <c r="O66" i="40" s="1"/>
  <c r="O43" i="40" a="1"/>
  <c r="O43" i="40" s="1"/>
  <c r="I50" i="40" a="1"/>
  <c r="I50" i="40" s="1"/>
  <c r="O79" i="40" a="1"/>
  <c r="O79" i="40" s="1"/>
  <c r="I53" i="40" a="1"/>
  <c r="I53" i="40" s="1"/>
  <c r="O54" i="40" a="1"/>
  <c r="O54" i="40" s="1"/>
  <c r="O45" i="40" a="1"/>
  <c r="O45" i="40" s="1"/>
  <c r="M47" i="40" s="1"/>
  <c r="O47" i="40" s="1"/>
  <c r="I56" i="40" a="1"/>
  <c r="I56" i="40" s="1"/>
  <c r="C15" i="40"/>
  <c r="D13" i="33" s="1"/>
  <c r="I132" i="40"/>
  <c r="I131" i="40"/>
  <c r="F46" i="40"/>
  <c r="I46" i="40" s="1" a="1"/>
  <c r="I46" i="40" s="1"/>
  <c r="I62" i="40" a="1"/>
  <c r="I62" i="40" s="1"/>
  <c r="O52" i="40" a="1"/>
  <c r="O52" i="40" s="1"/>
  <c r="I73" i="40" a="1"/>
  <c r="I73" i="40" s="1"/>
  <c r="O49" i="40" a="1"/>
  <c r="O49" i="40" s="1"/>
  <c r="O51" i="40" a="1"/>
  <c r="O51" i="40" s="1"/>
  <c r="I61" i="40" a="1"/>
  <c r="I61" i="40" s="1"/>
  <c r="O67" i="40" a="1"/>
  <c r="O67" i="40" s="1"/>
  <c r="O65" i="40" s="1"/>
  <c r="C46" i="40" s="1"/>
  <c r="C18" i="40" s="1"/>
  <c r="D16" i="33" s="1"/>
  <c r="L42" i="40"/>
  <c r="B44" i="40" s="1"/>
  <c r="B16" i="40" s="1"/>
  <c r="I55" i="40" a="1"/>
  <c r="I55" i="40" s="1"/>
  <c r="G57" i="40" s="1"/>
  <c r="I57" i="40" s="1"/>
  <c r="I59" i="40" a="1"/>
  <c r="I59" i="40" s="1"/>
  <c r="I70" i="40" a="1"/>
  <c r="I70" i="40" s="1"/>
  <c r="I72" i="40" a="1"/>
  <c r="I72" i="40" s="1"/>
  <c r="I47" i="40" a="1"/>
  <c r="I47" i="40" s="1"/>
  <c r="I52" i="40" a="1"/>
  <c r="I52" i="40" s="1"/>
  <c r="G54" i="40" s="1"/>
  <c r="I54" i="40" s="1"/>
  <c r="I29" i="33"/>
  <c r="I28" i="33"/>
  <c r="I27" i="33"/>
  <c r="I26" i="33"/>
  <c r="I25" i="33"/>
  <c r="I24" i="33"/>
  <c r="I10" i="33"/>
  <c r="I9" i="33"/>
  <c r="I8" i="33"/>
  <c r="I130" i="34" a="1"/>
  <c r="I130" i="34" s="1"/>
  <c r="I128" i="34" a="1"/>
  <c r="I128" i="34" s="1"/>
  <c r="F127" i="34"/>
  <c r="B102" i="34" s="1"/>
  <c r="I126" i="34" a="1"/>
  <c r="I126" i="34" s="1"/>
  <c r="I122" i="34" a="1"/>
  <c r="I122" i="34" s="1"/>
  <c r="F121" i="34"/>
  <c r="I119" i="34" a="1"/>
  <c r="I119" i="34" s="1"/>
  <c r="I118" i="34" a="1"/>
  <c r="I118" i="34" s="1"/>
  <c r="G120" i="34" s="1"/>
  <c r="I120" i="34" s="1"/>
  <c r="O115" i="34" a="1"/>
  <c r="O115" i="34" s="1"/>
  <c r="I115" i="34"/>
  <c r="I114" i="34"/>
  <c r="O111" i="34" a="1"/>
  <c r="O111" i="34" s="1"/>
  <c r="I111" i="34" a="1"/>
  <c r="I111" i="34" s="1"/>
  <c r="O110" i="34"/>
  <c r="F110" i="34"/>
  <c r="B100" i="34" s="1"/>
  <c r="I109" i="34" a="1"/>
  <c r="I109" i="34" s="1"/>
  <c r="O107" i="34" a="1"/>
  <c r="O107" i="34" s="1"/>
  <c r="O106" i="34"/>
  <c r="F104" i="34"/>
  <c r="O103" i="34" a="1"/>
  <c r="O103" i="34" s="1"/>
  <c r="C103" i="34"/>
  <c r="C102" i="34"/>
  <c r="I101" i="34" a="1"/>
  <c r="I101" i="34" s="1"/>
  <c r="L100" i="34"/>
  <c r="O100" i="34" s="1" a="1"/>
  <c r="O100" i="34" s="1"/>
  <c r="C100" i="34"/>
  <c r="O97" i="34"/>
  <c r="B94" i="34"/>
  <c r="G88" i="34"/>
  <c r="O82" i="34" a="1"/>
  <c r="O82" i="34" s="1"/>
  <c r="O80" i="34" a="1"/>
  <c r="O80" i="34" s="1"/>
  <c r="L78" i="34" a="1"/>
  <c r="O79" i="34" s="1" a="1"/>
  <c r="O79" i="34" s="1"/>
  <c r="F69" i="34" a="1"/>
  <c r="I72" i="34" s="1" a="1"/>
  <c r="I72" i="34" s="1"/>
  <c r="L65" i="34" a="1"/>
  <c r="O67" i="34" s="1" a="1"/>
  <c r="O67" i="34" s="1"/>
  <c r="L60" i="34" a="1"/>
  <c r="O63" i="34" s="1" a="1"/>
  <c r="O63" i="34" s="1"/>
  <c r="F46" i="34" a="1"/>
  <c r="I59" i="34" s="1" a="1"/>
  <c r="I59" i="34" s="1"/>
  <c r="I43" i="34"/>
  <c r="C43" i="34" s="1"/>
  <c r="B43" i="34"/>
  <c r="L42" i="34" a="1"/>
  <c r="L42" i="34" s="1"/>
  <c r="B44" i="34" s="1"/>
  <c r="B16" i="34" s="1"/>
  <c r="C40" i="34"/>
  <c r="I2" i="33" s="1"/>
  <c r="B15" i="34"/>
  <c r="C10" i="34"/>
  <c r="N29" i="32"/>
  <c r="F29" i="32"/>
  <c r="I29" i="32" s="1"/>
  <c r="K29" i="32" s="1"/>
  <c r="B29" i="32"/>
  <c r="N28" i="32"/>
  <c r="F28" i="32"/>
  <c r="I28" i="32" s="1"/>
  <c r="K28" i="32" s="1"/>
  <c r="B28" i="32"/>
  <c r="N27" i="32"/>
  <c r="B27" i="32"/>
  <c r="N26" i="32"/>
  <c r="B26" i="32"/>
  <c r="N25" i="32"/>
  <c r="F25" i="32"/>
  <c r="I25" i="32" s="1"/>
  <c r="K25" i="32" s="1"/>
  <c r="B25" i="32"/>
  <c r="N24" i="32"/>
  <c r="B24" i="32"/>
  <c r="N23" i="32"/>
  <c r="F23" i="32"/>
  <c r="I23" i="32" s="1"/>
  <c r="K23" i="32" s="1"/>
  <c r="B23" i="32"/>
  <c r="N22" i="32"/>
  <c r="D22" i="32"/>
  <c r="F22" i="32" s="1"/>
  <c r="I22" i="32" s="1"/>
  <c r="K22" i="32" s="1"/>
  <c r="B22" i="32"/>
  <c r="N21" i="32"/>
  <c r="D21" i="32"/>
  <c r="F21" i="32" s="1"/>
  <c r="I21" i="32" s="1"/>
  <c r="K21" i="32" s="1"/>
  <c r="B21" i="32"/>
  <c r="N20" i="32"/>
  <c r="B20" i="32"/>
  <c r="N19" i="32"/>
  <c r="B19" i="32"/>
  <c r="N18" i="32"/>
  <c r="F18" i="32"/>
  <c r="I18" i="32" s="1"/>
  <c r="K18" i="32" s="1"/>
  <c r="B18" i="32"/>
  <c r="N17" i="32"/>
  <c r="B17" i="32"/>
  <c r="N16" i="32"/>
  <c r="F16" i="32"/>
  <c r="I16" i="32" s="1"/>
  <c r="K16" i="32" s="1"/>
  <c r="B16" i="32"/>
  <c r="L7" i="32"/>
  <c r="B7" i="32"/>
  <c r="L6" i="32"/>
  <c r="C26" i="33"/>
  <c r="E26" i="33"/>
  <c r="F26" i="33"/>
  <c r="G26" i="33"/>
  <c r="C27" i="33"/>
  <c r="E27" i="33"/>
  <c r="F27" i="33"/>
  <c r="G27" i="33"/>
  <c r="G29" i="33"/>
  <c r="F29" i="33"/>
  <c r="E29" i="33"/>
  <c r="C29" i="33"/>
  <c r="B29" i="33"/>
  <c r="G28" i="33"/>
  <c r="F28" i="33"/>
  <c r="E28" i="33"/>
  <c r="C28" i="33"/>
  <c r="B28" i="33"/>
  <c r="B27" i="33"/>
  <c r="B26" i="33"/>
  <c r="G25" i="33"/>
  <c r="F25" i="33"/>
  <c r="E25" i="33"/>
  <c r="C25" i="33"/>
  <c r="B25" i="33"/>
  <c r="G24" i="33"/>
  <c r="F24" i="33"/>
  <c r="E24" i="33"/>
  <c r="C24" i="33"/>
  <c r="B24" i="33"/>
  <c r="B18" i="33"/>
  <c r="B13" i="33"/>
  <c r="G10" i="33"/>
  <c r="F10" i="33"/>
  <c r="E10" i="33"/>
  <c r="C10" i="33"/>
  <c r="B10" i="33"/>
  <c r="G9" i="33"/>
  <c r="F9" i="33"/>
  <c r="B9" i="33"/>
  <c r="G8" i="33"/>
  <c r="F8" i="33"/>
  <c r="E8" i="33"/>
  <c r="C8" i="33"/>
  <c r="O61" i="34" l="1" a="1"/>
  <c r="O61" i="34" s="1"/>
  <c r="O54" i="34" a="1"/>
  <c r="O54" i="34" s="1"/>
  <c r="O43" i="34" a="1"/>
  <c r="O43" i="34" s="1"/>
  <c r="O44" i="34" a="1"/>
  <c r="O44" i="34" s="1"/>
  <c r="G51" i="40"/>
  <c r="I51" i="40" s="1"/>
  <c r="I50" i="34" a="1"/>
  <c r="I50" i="34" s="1"/>
  <c r="O52" i="34" a="1"/>
  <c r="O52" i="34" s="1"/>
  <c r="I56" i="34" a="1"/>
  <c r="I56" i="34" s="1"/>
  <c r="G74" i="40"/>
  <c r="I74" i="40" s="1"/>
  <c r="G48" i="40"/>
  <c r="I48" i="40" s="1"/>
  <c r="I58" i="34" a="1"/>
  <c r="I58" i="34" s="1"/>
  <c r="O46" i="34" a="1"/>
  <c r="O46" i="34" s="1"/>
  <c r="O45" i="34" a="1"/>
  <c r="O45" i="34" s="1"/>
  <c r="O56" i="34" a="1"/>
  <c r="O56" i="34" s="1"/>
  <c r="C15" i="34"/>
  <c r="I13" i="33" s="1"/>
  <c r="I132" i="34"/>
  <c r="I131" i="34"/>
  <c r="I47" i="34" a="1"/>
  <c r="I47" i="34" s="1"/>
  <c r="I52" i="34" a="1"/>
  <c r="I52" i="34" s="1"/>
  <c r="O57" i="34" a="1"/>
  <c r="O57" i="34" s="1"/>
  <c r="I60" i="34" a="1"/>
  <c r="I60" i="34" s="1"/>
  <c r="L65" i="34"/>
  <c r="B46" i="34" s="1"/>
  <c r="B18" i="34" s="1"/>
  <c r="F69" i="34"/>
  <c r="I69" i="34" s="1" a="1"/>
  <c r="I69" i="34" s="1"/>
  <c r="F46" i="34"/>
  <c r="I46" i="34" s="1" a="1"/>
  <c r="I46" i="34" s="1"/>
  <c r="I62" i="34" a="1"/>
  <c r="I62" i="34" s="1"/>
  <c r="I71" i="34" a="1"/>
  <c r="I71" i="34" s="1"/>
  <c r="I73" i="34" a="1"/>
  <c r="I73" i="34" s="1"/>
  <c r="G74" i="34" s="1"/>
  <c r="I74" i="34" s="1"/>
  <c r="I49" i="34" a="1"/>
  <c r="I49" i="34" s="1"/>
  <c r="G51" i="34" s="1"/>
  <c r="I51" i="34" s="1"/>
  <c r="L60" i="34"/>
  <c r="B45" i="34" s="1"/>
  <c r="B17" i="34" s="1"/>
  <c r="O62" i="34" a="1"/>
  <c r="O62" i="34" s="1"/>
  <c r="O66" i="34" a="1"/>
  <c r="O66" i="34" s="1"/>
  <c r="O65" i="34" s="1"/>
  <c r="C46" i="34" s="1"/>
  <c r="C18" i="34" s="1"/>
  <c r="I16" i="33" s="1"/>
  <c r="L78" i="34"/>
  <c r="B48" i="34" s="1"/>
  <c r="B25" i="34" s="1"/>
  <c r="O49" i="34" a="1"/>
  <c r="O49" i="34" s="1"/>
  <c r="O51" i="34" a="1"/>
  <c r="O51" i="34" s="1"/>
  <c r="I53" i="34" a="1"/>
  <c r="I53" i="34" s="1"/>
  <c r="I61" i="34" a="1"/>
  <c r="I61" i="34" s="1"/>
  <c r="I55" i="34" a="1"/>
  <c r="I55" i="34" s="1"/>
  <c r="I70" i="34" a="1"/>
  <c r="I70" i="34" s="1"/>
  <c r="O21" i="32"/>
  <c r="L21" i="32"/>
  <c r="O20" i="32"/>
  <c r="O18" i="32"/>
  <c r="O19" i="32"/>
  <c r="L18" i="32"/>
  <c r="O27" i="32"/>
  <c r="O25" i="32"/>
  <c r="O26" i="32"/>
  <c r="L25" i="32"/>
  <c r="L16" i="32"/>
  <c r="O17" i="32"/>
  <c r="O16" i="32"/>
  <c r="K30" i="32"/>
  <c r="M28" i="32" s="1"/>
  <c r="L28" i="32"/>
  <c r="O28" i="32"/>
  <c r="L22" i="32"/>
  <c r="O22" i="32"/>
  <c r="L23" i="32"/>
  <c r="O24" i="32"/>
  <c r="O23" i="32"/>
  <c r="L29" i="32"/>
  <c r="O29" i="32"/>
  <c r="O60" i="34" l="1"/>
  <c r="C45" i="34" s="1"/>
  <c r="C17" i="34" s="1"/>
  <c r="I15" i="33" s="1"/>
  <c r="G57" i="34"/>
  <c r="I57" i="34" s="1"/>
  <c r="M58" i="34"/>
  <c r="O58" i="34" s="1"/>
  <c r="M47" i="34"/>
  <c r="O47" i="34" s="1"/>
  <c r="G48" i="34"/>
  <c r="I48" i="34" s="1"/>
  <c r="I45" i="40"/>
  <c r="G54" i="34"/>
  <c r="I54" i="34" s="1"/>
  <c r="I45" i="34" s="1"/>
  <c r="M25" i="32"/>
  <c r="M23" i="32"/>
  <c r="C6" i="32"/>
  <c r="C11" i="32"/>
  <c r="C9" i="32"/>
  <c r="C7" i="32"/>
  <c r="C10" i="32"/>
  <c r="C8" i="32"/>
  <c r="O30" i="32"/>
  <c r="P29" i="32" s="1"/>
  <c r="L30" i="32"/>
  <c r="M18" i="32"/>
  <c r="M21" i="32"/>
  <c r="M22" i="32"/>
  <c r="M16" i="32"/>
  <c r="M29" i="32"/>
  <c r="P28" i="32" l="1"/>
  <c r="C52" i="40"/>
  <c r="M81" i="40"/>
  <c r="O81" i="40" s="1"/>
  <c r="C52" i="34"/>
  <c r="M81" i="34"/>
  <c r="O81" i="34" s="1"/>
  <c r="H7" i="32"/>
  <c r="H10" i="32"/>
  <c r="H11" i="32"/>
  <c r="H8" i="32"/>
  <c r="H6" i="32"/>
  <c r="H9" i="32"/>
  <c r="E6" i="32"/>
  <c r="G6" i="32" s="1"/>
  <c r="E11" i="32"/>
  <c r="G11" i="32" s="1"/>
  <c r="E9" i="32"/>
  <c r="G9" i="32" s="1"/>
  <c r="E7" i="32"/>
  <c r="G7" i="32" s="1"/>
  <c r="E10" i="32"/>
  <c r="G10" i="32" s="1"/>
  <c r="E8" i="32"/>
  <c r="G8" i="32" s="1"/>
  <c r="P25" i="32"/>
  <c r="M30" i="32"/>
  <c r="P17" i="32"/>
  <c r="P22" i="32"/>
  <c r="P19" i="32"/>
  <c r="P20" i="32"/>
  <c r="P21" i="32"/>
  <c r="P26" i="32"/>
  <c r="P24" i="32"/>
  <c r="P27" i="32"/>
  <c r="P23" i="32"/>
  <c r="P18" i="32"/>
  <c r="P16" i="32"/>
  <c r="P30" i="32" l="1"/>
  <c r="F154" i="1" l="1"/>
  <c r="G154" i="1"/>
  <c r="E154" i="1"/>
  <c r="F152" i="1"/>
  <c r="G152" i="1"/>
  <c r="E152" i="1"/>
  <c r="F162" i="1"/>
  <c r="G162" i="1"/>
  <c r="E162" i="1"/>
  <c r="F156" i="1"/>
  <c r="F135" i="1"/>
  <c r="G135" i="1"/>
  <c r="E135" i="1"/>
  <c r="I130" i="31" a="1"/>
  <c r="I130" i="31" s="1"/>
  <c r="I128" i="31" a="1"/>
  <c r="I128" i="31" s="1"/>
  <c r="F127" i="31"/>
  <c r="B102" i="31" s="1"/>
  <c r="I126" i="31" a="1"/>
  <c r="I126" i="31" s="1"/>
  <c r="I122" i="31" a="1"/>
  <c r="I122" i="31" s="1"/>
  <c r="F121" i="31"/>
  <c r="I119" i="31" a="1"/>
  <c r="I119" i="31" s="1"/>
  <c r="I118" i="31" a="1"/>
  <c r="I118" i="31" s="1"/>
  <c r="O115" i="31" a="1"/>
  <c r="O115" i="31" s="1"/>
  <c r="O111" i="31" a="1"/>
  <c r="O111" i="31" s="1"/>
  <c r="I111" i="31" a="1"/>
  <c r="I111" i="31" s="1"/>
  <c r="O110" i="31"/>
  <c r="F110" i="31"/>
  <c r="B100" i="31" s="1"/>
  <c r="I109" i="31" a="1"/>
  <c r="I109" i="31" s="1"/>
  <c r="I114" i="31" s="1"/>
  <c r="O107" i="31" a="1"/>
  <c r="O107" i="31" s="1"/>
  <c r="O106" i="31"/>
  <c r="F104" i="31"/>
  <c r="O103" i="31" a="1"/>
  <c r="O103" i="31" s="1"/>
  <c r="C103" i="31"/>
  <c r="C102" i="31"/>
  <c r="I101" i="31" a="1"/>
  <c r="I101" i="31" s="1"/>
  <c r="L100" i="31"/>
  <c r="O100" i="31" s="1" a="1"/>
  <c r="O100" i="31" s="1"/>
  <c r="C100" i="31"/>
  <c r="B94" i="31"/>
  <c r="G88" i="31"/>
  <c r="O82" i="31" a="1"/>
  <c r="O82" i="31" s="1"/>
  <c r="O80" i="31" a="1"/>
  <c r="O80" i="31" s="1"/>
  <c r="L78" i="31" a="1"/>
  <c r="O79" i="31" s="1" a="1"/>
  <c r="O79" i="31" s="1"/>
  <c r="F69" i="31" a="1"/>
  <c r="F69" i="31" s="1"/>
  <c r="I69" i="31" s="1" a="1"/>
  <c r="I69" i="31" s="1"/>
  <c r="L65" i="31" a="1"/>
  <c r="L65" i="31" s="1"/>
  <c r="B46" i="31" s="1"/>
  <c r="B18" i="31" s="1"/>
  <c r="L60" i="31" a="1"/>
  <c r="O62" i="31" s="1" a="1"/>
  <c r="O62" i="31" s="1"/>
  <c r="F46" i="31" a="1"/>
  <c r="I60" i="31" s="1" a="1"/>
  <c r="I60" i="31" s="1"/>
  <c r="I43" i="31"/>
  <c r="C43" i="31" s="1"/>
  <c r="C15" i="31" s="1"/>
  <c r="F13" i="33" s="1"/>
  <c r="B43" i="31"/>
  <c r="L42" i="31" a="1"/>
  <c r="O57" i="31" s="1" a="1"/>
  <c r="O57" i="31" s="1"/>
  <c r="C40" i="31"/>
  <c r="B15" i="31"/>
  <c r="C10" i="31"/>
  <c r="I130" i="30" a="1"/>
  <c r="I130" i="30" s="1"/>
  <c r="I128" i="30" a="1"/>
  <c r="I128" i="30" s="1"/>
  <c r="F127" i="30"/>
  <c r="B102" i="30" s="1"/>
  <c r="I126" i="30" a="1"/>
  <c r="I126" i="30" s="1"/>
  <c r="I122" i="30" a="1"/>
  <c r="I122" i="30" s="1"/>
  <c r="F121" i="30"/>
  <c r="I119" i="30" a="1"/>
  <c r="I119" i="30" s="1"/>
  <c r="I118" i="30" a="1"/>
  <c r="I118" i="30" s="1"/>
  <c r="O115" i="30" a="1"/>
  <c r="O115" i="30" s="1"/>
  <c r="O111" i="30" a="1"/>
  <c r="O111" i="30" s="1"/>
  <c r="I111" i="30" a="1"/>
  <c r="I111" i="30" s="1"/>
  <c r="O110" i="30"/>
  <c r="F110" i="30"/>
  <c r="B100" i="30" s="1"/>
  <c r="I109" i="30" a="1"/>
  <c r="I109" i="30" s="1"/>
  <c r="O107" i="30" a="1"/>
  <c r="O107" i="30" s="1"/>
  <c r="O106" i="30"/>
  <c r="F104" i="30"/>
  <c r="O103" i="30" a="1"/>
  <c r="O103" i="30" s="1"/>
  <c r="C102" i="30"/>
  <c r="I101" i="30" a="1"/>
  <c r="I101" i="30" s="1"/>
  <c r="L100" i="30"/>
  <c r="O100" i="30" s="1" a="1"/>
  <c r="O100" i="30" s="1"/>
  <c r="C100" i="30"/>
  <c r="B94" i="30"/>
  <c r="G88" i="30"/>
  <c r="O82" i="30" a="1"/>
  <c r="O82" i="30" s="1"/>
  <c r="O80" i="30" a="1"/>
  <c r="O80" i="30" s="1"/>
  <c r="L78" i="30" a="1"/>
  <c r="O79" i="30" s="1" a="1"/>
  <c r="O79" i="30" s="1"/>
  <c r="F69" i="30" a="1"/>
  <c r="F69" i="30" s="1"/>
  <c r="I69" i="30" s="1" a="1"/>
  <c r="I69" i="30" s="1"/>
  <c r="L65" i="30" a="1"/>
  <c r="L65" i="30" s="1"/>
  <c r="B46" i="30" s="1"/>
  <c r="B18" i="30" s="1"/>
  <c r="L60" i="30" a="1"/>
  <c r="O62" i="30" s="1" a="1"/>
  <c r="O62" i="30" s="1"/>
  <c r="F46" i="30" a="1"/>
  <c r="I60" i="30" s="1" a="1"/>
  <c r="I60" i="30" s="1"/>
  <c r="I43" i="30"/>
  <c r="C43" i="30" s="1"/>
  <c r="C15" i="30" s="1"/>
  <c r="E13" i="33" s="1"/>
  <c r="B43" i="30"/>
  <c r="L42" i="30" a="1"/>
  <c r="O57" i="30" s="1" a="1"/>
  <c r="O57" i="30" s="1"/>
  <c r="C40" i="30"/>
  <c r="B15" i="30"/>
  <c r="C10" i="30"/>
  <c r="I130" i="29" a="1"/>
  <c r="I130" i="29" s="1"/>
  <c r="I128" i="29" a="1"/>
  <c r="I128" i="29" s="1"/>
  <c r="F127" i="29"/>
  <c r="I126" i="29" a="1"/>
  <c r="I126" i="29" s="1"/>
  <c r="I122" i="29" a="1"/>
  <c r="I122" i="29" s="1"/>
  <c r="F121" i="29"/>
  <c r="I119" i="29" a="1"/>
  <c r="I119" i="29" s="1"/>
  <c r="I118" i="29" a="1"/>
  <c r="I118" i="29" s="1"/>
  <c r="O115" i="29" a="1"/>
  <c r="O115" i="29" s="1"/>
  <c r="I115" i="29"/>
  <c r="O111" i="29" a="1"/>
  <c r="O111" i="29" s="1"/>
  <c r="O110" i="29"/>
  <c r="F110" i="29"/>
  <c r="B100" i="29" s="1"/>
  <c r="I109" i="29" a="1"/>
  <c r="I109" i="29" s="1"/>
  <c r="I114" i="29" s="1"/>
  <c r="O107" i="29" a="1"/>
  <c r="O107" i="29" s="1"/>
  <c r="O106" i="29"/>
  <c r="F104" i="29"/>
  <c r="O103" i="29" a="1"/>
  <c r="O103" i="29" s="1"/>
  <c r="C103" i="29"/>
  <c r="C102" i="29"/>
  <c r="B102" i="29"/>
  <c r="L100" i="29"/>
  <c r="O100" i="29" s="1" a="1"/>
  <c r="O100" i="29" s="1"/>
  <c r="C100" i="29"/>
  <c r="O97" i="29"/>
  <c r="B94" i="29"/>
  <c r="G88" i="29"/>
  <c r="O82" i="29" a="1"/>
  <c r="O82" i="29" s="1"/>
  <c r="O80" i="29" a="1"/>
  <c r="O80" i="29" s="1"/>
  <c r="L78" i="29" a="1"/>
  <c r="O79" i="29" s="1" a="1"/>
  <c r="O79" i="29" s="1"/>
  <c r="F69" i="29" a="1"/>
  <c r="I71" i="29" s="1" a="1"/>
  <c r="I71" i="29" s="1"/>
  <c r="L65" i="29" a="1"/>
  <c r="L65" i="29" s="1"/>
  <c r="B46" i="29" s="1"/>
  <c r="B18" i="29" s="1"/>
  <c r="L60" i="29" a="1"/>
  <c r="O62" i="29" s="1" a="1"/>
  <c r="O62" i="29" s="1"/>
  <c r="F46" i="29" a="1"/>
  <c r="I60" i="29" s="1" a="1"/>
  <c r="I60" i="29" s="1"/>
  <c r="I43" i="29"/>
  <c r="C43" i="29" s="1"/>
  <c r="C15" i="29" s="1"/>
  <c r="G13" i="33" s="1"/>
  <c r="B43" i="29"/>
  <c r="L42" i="29" a="1"/>
  <c r="O57" i="29" s="1" a="1"/>
  <c r="O57" i="29" s="1"/>
  <c r="C40" i="29"/>
  <c r="B15" i="29"/>
  <c r="C10" i="29"/>
  <c r="H40" i="27"/>
  <c r="L40" i="27" s="1"/>
  <c r="I40" i="27" s="1"/>
  <c r="K40" i="27" s="1"/>
  <c r="J40" i="27" s="1"/>
  <c r="H36" i="27"/>
  <c r="L36" i="27" s="1"/>
  <c r="I36" i="27" s="1"/>
  <c r="K36" i="27" s="1"/>
  <c r="J36" i="27" s="1"/>
  <c r="H35" i="27"/>
  <c r="L35" i="27" s="1"/>
  <c r="I35" i="27" s="1"/>
  <c r="K35" i="27" s="1"/>
  <c r="J35" i="27" s="1"/>
  <c r="H34" i="27"/>
  <c r="L34" i="27" s="1"/>
  <c r="I34" i="27" s="1"/>
  <c r="K34" i="27" s="1"/>
  <c r="J34" i="27" s="1"/>
  <c r="H33" i="27"/>
  <c r="L33" i="27" s="1"/>
  <c r="I33" i="27" s="1"/>
  <c r="K33" i="27" s="1"/>
  <c r="J33" i="27" s="1"/>
  <c r="H32" i="27"/>
  <c r="L32" i="27" s="1"/>
  <c r="I32" i="27" s="1"/>
  <c r="K32" i="27" s="1"/>
  <c r="J32" i="27" s="1"/>
  <c r="H31" i="27"/>
  <c r="L31" i="27" s="1"/>
  <c r="I31" i="27" s="1"/>
  <c r="K31" i="27" s="1"/>
  <c r="J31" i="27" s="1"/>
  <c r="H30" i="27"/>
  <c r="L30" i="27" s="1"/>
  <c r="I30" i="27" s="1"/>
  <c r="K30" i="27" s="1"/>
  <c r="J30" i="27" s="1"/>
  <c r="H29" i="27"/>
  <c r="L29" i="27" s="1"/>
  <c r="G28" i="27"/>
  <c r="E28" i="27"/>
  <c r="D28" i="27"/>
  <c r="H24" i="27"/>
  <c r="L24" i="27" s="1"/>
  <c r="I24" i="27" s="1"/>
  <c r="K24" i="27" s="1"/>
  <c r="J24" i="27" s="1"/>
  <c r="H23" i="27"/>
  <c r="L23" i="27" s="1"/>
  <c r="I23" i="27" s="1"/>
  <c r="K23" i="27" s="1"/>
  <c r="J23" i="27" s="1"/>
  <c r="H22" i="27"/>
  <c r="L22" i="27" s="1"/>
  <c r="I22" i="27" s="1"/>
  <c r="K22" i="27" s="1"/>
  <c r="J22" i="27" s="1"/>
  <c r="H21" i="27"/>
  <c r="L21" i="27" s="1"/>
  <c r="I21" i="27" s="1"/>
  <c r="K21" i="27" s="1"/>
  <c r="J21" i="27" s="1"/>
  <c r="H20" i="27"/>
  <c r="L20" i="27" s="1"/>
  <c r="I20" i="27" s="1"/>
  <c r="K20" i="27" s="1"/>
  <c r="J20" i="27" s="1"/>
  <c r="H19" i="27"/>
  <c r="L19" i="27" s="1"/>
  <c r="G18" i="27"/>
  <c r="E18" i="27"/>
  <c r="D18" i="27"/>
  <c r="D26" i="27" s="1"/>
  <c r="H15" i="27"/>
  <c r="L15" i="27" s="1"/>
  <c r="I15" i="27" s="1"/>
  <c r="K15" i="27" s="1"/>
  <c r="J15" i="27" s="1"/>
  <c r="J14" i="27"/>
  <c r="K14" i="27"/>
  <c r="I14" i="27"/>
  <c r="L14" i="27"/>
  <c r="H13" i="27"/>
  <c r="L13" i="27" s="1"/>
  <c r="I13" i="27" s="1"/>
  <c r="K13" i="27" s="1"/>
  <c r="J13" i="27" s="1"/>
  <c r="H12" i="27"/>
  <c r="L12" i="27" s="1"/>
  <c r="I12" i="27" s="1"/>
  <c r="K12" i="27" s="1"/>
  <c r="J12" i="27" s="1"/>
  <c r="H11" i="27"/>
  <c r="G10" i="27"/>
  <c r="G26" i="27" s="1"/>
  <c r="G39" i="27" s="1"/>
  <c r="G41" i="27" s="1"/>
  <c r="G42" i="27" s="1"/>
  <c r="E10" i="27"/>
  <c r="I50" i="31" l="1" a="1"/>
  <c r="I50" i="31" s="1"/>
  <c r="I62" i="30" a="1"/>
  <c r="I62" i="30" s="1"/>
  <c r="O63" i="30" a="1"/>
  <c r="O63" i="30" s="1"/>
  <c r="I58" i="31" a="1"/>
  <c r="I58" i="31" s="1"/>
  <c r="I53" i="29" a="1"/>
  <c r="I53" i="29" s="1"/>
  <c r="I56" i="29" a="1"/>
  <c r="I56" i="29" s="1"/>
  <c r="I61" i="29" a="1"/>
  <c r="I61" i="29" s="1"/>
  <c r="G120" i="31"/>
  <c r="I120" i="31" s="1"/>
  <c r="F46" i="30"/>
  <c r="I46" i="30" s="1" a="1"/>
  <c r="I46" i="30" s="1"/>
  <c r="I70" i="29" a="1"/>
  <c r="I70" i="29" s="1"/>
  <c r="I53" i="30" a="1"/>
  <c r="I53" i="30" s="1"/>
  <c r="I61" i="30" a="1"/>
  <c r="I61" i="30" s="1"/>
  <c r="D39" i="27"/>
  <c r="D41" i="27" s="1"/>
  <c r="D42" i="27" s="1"/>
  <c r="E26" i="27"/>
  <c r="E39" i="27" s="1"/>
  <c r="E41" i="27" s="1"/>
  <c r="E42" i="27" s="1"/>
  <c r="F46" i="29"/>
  <c r="I46" i="29" s="1" a="1"/>
  <c r="I46" i="29" s="1"/>
  <c r="O67" i="30" a="1"/>
  <c r="O67" i="30" s="1"/>
  <c r="I55" i="31" a="1"/>
  <c r="I55" i="31" s="1"/>
  <c r="G57" i="31" s="1"/>
  <c r="I57" i="31" s="1"/>
  <c r="I70" i="31" a="1"/>
  <c r="I70" i="31" s="1"/>
  <c r="I59" i="29" a="1"/>
  <c r="I59" i="29" s="1"/>
  <c r="I62" i="31" a="1"/>
  <c r="I62" i="31" s="1"/>
  <c r="I70" i="30" a="1"/>
  <c r="I70" i="30" s="1"/>
  <c r="O67" i="31" a="1"/>
  <c r="O67" i="31" s="1"/>
  <c r="F46" i="31"/>
  <c r="I46" i="31" s="1" a="1"/>
  <c r="I46" i="31" s="1"/>
  <c r="I72" i="29" a="1"/>
  <c r="I72" i="29" s="1"/>
  <c r="I58" i="29" a="1"/>
  <c r="I58" i="29" s="1"/>
  <c r="I62" i="29" a="1"/>
  <c r="I62" i="29" s="1"/>
  <c r="F69" i="29"/>
  <c r="I69" i="29" s="1" a="1"/>
  <c r="I69" i="29" s="1"/>
  <c r="I73" i="29" a="1"/>
  <c r="I73" i="29" s="1"/>
  <c r="I71" i="30" a="1"/>
  <c r="I71" i="30" s="1"/>
  <c r="G120" i="30"/>
  <c r="I120" i="30" s="1"/>
  <c r="I49" i="31" a="1"/>
  <c r="I49" i="31" s="1"/>
  <c r="I56" i="31" a="1"/>
  <c r="I56" i="31" s="1"/>
  <c r="I61" i="31" a="1"/>
  <c r="I61" i="31" s="1"/>
  <c r="I72" i="31" a="1"/>
  <c r="I72" i="31" s="1"/>
  <c r="I55" i="29" a="1"/>
  <c r="I55" i="29" s="1"/>
  <c r="G57" i="29" s="1"/>
  <c r="I57" i="29" s="1"/>
  <c r="O67" i="29" a="1"/>
  <c r="O67" i="29" s="1"/>
  <c r="I53" i="31" a="1"/>
  <c r="I53" i="31" s="1"/>
  <c r="I59" i="31" a="1"/>
  <c r="I59" i="31" s="1"/>
  <c r="I73" i="31" a="1"/>
  <c r="I73" i="31" s="1"/>
  <c r="I132" i="31"/>
  <c r="I131" i="31"/>
  <c r="O49" i="31" a="1"/>
  <c r="O49" i="31" s="1"/>
  <c r="O51" i="31" a="1"/>
  <c r="O51" i="31" s="1"/>
  <c r="O63" i="31" a="1"/>
  <c r="O63" i="31" s="1"/>
  <c r="O52" i="31" a="1"/>
  <c r="O52" i="31" s="1"/>
  <c r="O43" i="31" a="1"/>
  <c r="O43" i="31" s="1"/>
  <c r="O44" i="31" a="1"/>
  <c r="O44" i="31" s="1"/>
  <c r="L60" i="31"/>
  <c r="B45" i="31" s="1"/>
  <c r="B17" i="31" s="1"/>
  <c r="O61" i="31" a="1"/>
  <c r="O61" i="31" s="1"/>
  <c r="O66" i="31" a="1"/>
  <c r="O66" i="31" s="1"/>
  <c r="O65" i="31" s="1"/>
  <c r="C46" i="31" s="1"/>
  <c r="C18" i="31" s="1"/>
  <c r="F16" i="33" s="1"/>
  <c r="L78" i="31"/>
  <c r="B48" i="31" s="1"/>
  <c r="B25" i="31" s="1"/>
  <c r="L42" i="31"/>
  <c r="B44" i="31" s="1"/>
  <c r="B16" i="31" s="1"/>
  <c r="O45" i="31" a="1"/>
  <c r="O45" i="31" s="1"/>
  <c r="O46" i="31" a="1"/>
  <c r="O46" i="31" s="1"/>
  <c r="I47" i="31" a="1"/>
  <c r="I47" i="31" s="1"/>
  <c r="O48" i="31" a="1"/>
  <c r="O48" i="31" s="1"/>
  <c r="I52" i="31" a="1"/>
  <c r="I52" i="31" s="1"/>
  <c r="G54" i="31" s="1"/>
  <c r="I54" i="31" s="1"/>
  <c r="O54" i="31" a="1"/>
  <c r="O54" i="31" s="1"/>
  <c r="O56" i="31" a="1"/>
  <c r="O56" i="31" s="1"/>
  <c r="M58" i="31" s="1"/>
  <c r="O58" i="31" s="1"/>
  <c r="I132" i="30"/>
  <c r="I131" i="30"/>
  <c r="O49" i="30" a="1"/>
  <c r="O49" i="30" s="1"/>
  <c r="O51" i="30" a="1"/>
  <c r="O51" i="30" s="1"/>
  <c r="L42" i="30"/>
  <c r="B44" i="30" s="1"/>
  <c r="B16" i="30" s="1"/>
  <c r="O52" i="30" a="1"/>
  <c r="O52" i="30" s="1"/>
  <c r="I55" i="30" a="1"/>
  <c r="I55" i="30" s="1"/>
  <c r="I56" i="30" a="1"/>
  <c r="I56" i="30" s="1"/>
  <c r="I58" i="30" a="1"/>
  <c r="I58" i="30" s="1"/>
  <c r="I59" i="30" a="1"/>
  <c r="I59" i="30" s="1"/>
  <c r="I72" i="30" a="1"/>
  <c r="I72" i="30" s="1"/>
  <c r="I73" i="30" a="1"/>
  <c r="I73" i="30" s="1"/>
  <c r="O43" i="30" a="1"/>
  <c r="O43" i="30" s="1"/>
  <c r="O44" i="30" a="1"/>
  <c r="O44" i="30" s="1"/>
  <c r="I49" i="30" a="1"/>
  <c r="I49" i="30" s="1"/>
  <c r="I50" i="30" a="1"/>
  <c r="I50" i="30" s="1"/>
  <c r="L60" i="30"/>
  <c r="B45" i="30" s="1"/>
  <c r="B17" i="30" s="1"/>
  <c r="O61" i="30" a="1"/>
  <c r="O61" i="30" s="1"/>
  <c r="O60" i="30" s="1"/>
  <c r="C45" i="30" s="1"/>
  <c r="C17" i="30" s="1"/>
  <c r="E15" i="33" s="1"/>
  <c r="O66" i="30" a="1"/>
  <c r="O66" i="30" s="1"/>
  <c r="O65" i="30" s="1"/>
  <c r="C46" i="30" s="1"/>
  <c r="C18" i="30" s="1"/>
  <c r="E16" i="33" s="1"/>
  <c r="L78" i="30"/>
  <c r="B48" i="30" s="1"/>
  <c r="B25" i="30" s="1"/>
  <c r="O45" i="30" a="1"/>
  <c r="O45" i="30" s="1"/>
  <c r="O46" i="30" a="1"/>
  <c r="O46" i="30" s="1"/>
  <c r="I47" i="30" a="1"/>
  <c r="I47" i="30" s="1"/>
  <c r="G48" i="30" s="1"/>
  <c r="I48" i="30" s="1"/>
  <c r="I52" i="30" a="1"/>
  <c r="I52" i="30" s="1"/>
  <c r="O54" i="30" a="1"/>
  <c r="O54" i="30" s="1"/>
  <c r="O56" i="30" a="1"/>
  <c r="O56" i="30" s="1"/>
  <c r="M58" i="30" s="1"/>
  <c r="O58" i="30" s="1"/>
  <c r="G120" i="29"/>
  <c r="I120" i="29" s="1"/>
  <c r="I132" i="29"/>
  <c r="I131" i="29"/>
  <c r="O63" i="29" a="1"/>
  <c r="O63" i="29" s="1"/>
  <c r="O51" i="29" a="1"/>
  <c r="O51" i="29" s="1"/>
  <c r="O49" i="29" a="1"/>
  <c r="O49" i="29" s="1"/>
  <c r="L42" i="29"/>
  <c r="B44" i="29" s="1"/>
  <c r="B16" i="29" s="1"/>
  <c r="O43" i="29" a="1"/>
  <c r="O43" i="29" s="1"/>
  <c r="O44" i="29" a="1"/>
  <c r="O44" i="29" s="1"/>
  <c r="I49" i="29" a="1"/>
  <c r="I49" i="29" s="1"/>
  <c r="I50" i="29" a="1"/>
  <c r="I50" i="29" s="1"/>
  <c r="L60" i="29"/>
  <c r="B45" i="29" s="1"/>
  <c r="B17" i="29" s="1"/>
  <c r="O61" i="29" a="1"/>
  <c r="O61" i="29" s="1"/>
  <c r="O66" i="29" a="1"/>
  <c r="O66" i="29" s="1"/>
  <c r="O65" i="29" s="1"/>
  <c r="C46" i="29" s="1"/>
  <c r="C18" i="29" s="1"/>
  <c r="G16" i="33" s="1"/>
  <c r="L78" i="29"/>
  <c r="B48" i="29" s="1"/>
  <c r="B25" i="29" s="1"/>
  <c r="O52" i="29" a="1"/>
  <c r="O52" i="29" s="1"/>
  <c r="O45" i="29" a="1"/>
  <c r="O45" i="29" s="1"/>
  <c r="O46" i="29" a="1"/>
  <c r="O46" i="29" s="1"/>
  <c r="I47" i="29" a="1"/>
  <c r="I47" i="29" s="1"/>
  <c r="G48" i="29" s="1"/>
  <c r="I48" i="29" s="1"/>
  <c r="I52" i="29" a="1"/>
  <c r="I52" i="29" s="1"/>
  <c r="G54" i="29" s="1"/>
  <c r="I54" i="29" s="1"/>
  <c r="O54" i="29" a="1"/>
  <c r="O54" i="29" s="1"/>
  <c r="O56" i="29" a="1"/>
  <c r="O56" i="29" s="1"/>
  <c r="M58" i="29" s="1"/>
  <c r="O58" i="29" s="1"/>
  <c r="I19" i="27"/>
  <c r="I29" i="27"/>
  <c r="L11" i="27"/>
  <c r="G51" i="31" l="1"/>
  <c r="I51" i="31" s="1"/>
  <c r="G48" i="31"/>
  <c r="I48" i="31" s="1"/>
  <c r="G54" i="30"/>
  <c r="I54" i="30" s="1"/>
  <c r="G74" i="31"/>
  <c r="I74" i="31" s="1"/>
  <c r="O60" i="29"/>
  <c r="C45" i="29" s="1"/>
  <c r="C17" i="29" s="1"/>
  <c r="G15" i="33" s="1"/>
  <c r="M47" i="31"/>
  <c r="O47" i="31" s="1"/>
  <c r="O60" i="31"/>
  <c r="C45" i="31" s="1"/>
  <c r="C17" i="31" s="1"/>
  <c r="F15" i="33" s="1"/>
  <c r="G51" i="30"/>
  <c r="I51" i="30" s="1"/>
  <c r="M50" i="31"/>
  <c r="O50" i="31" s="1"/>
  <c r="G74" i="29"/>
  <c r="I74" i="29" s="1"/>
  <c r="I45" i="31"/>
  <c r="G74" i="30"/>
  <c r="I74" i="30" s="1"/>
  <c r="G57" i="30"/>
  <c r="I57" i="30" s="1"/>
  <c r="M47" i="30"/>
  <c r="O47" i="30" s="1"/>
  <c r="G51" i="29"/>
  <c r="I51" i="29" s="1"/>
  <c r="M47" i="29"/>
  <c r="O47" i="29" s="1"/>
  <c r="I11" i="27"/>
  <c r="K29" i="27"/>
  <c r="K19" i="27"/>
  <c r="C52" i="31" l="1"/>
  <c r="M81" i="31"/>
  <c r="O81" i="31" s="1"/>
  <c r="I45" i="30"/>
  <c r="I45" i="29"/>
  <c r="J19" i="27"/>
  <c r="J29" i="27"/>
  <c r="K11" i="27"/>
  <c r="C52" i="30" l="1"/>
  <c r="M81" i="30"/>
  <c r="O81" i="30" s="1"/>
  <c r="C52" i="29"/>
  <c r="M81" i="29"/>
  <c r="O81" i="29" s="1"/>
  <c r="J11" i="27"/>
  <c r="C10" i="25" l="1"/>
  <c r="B43" i="25" l="1"/>
  <c r="B15" i="25" s="1"/>
  <c r="I130" i="25" a="1"/>
  <c r="I130" i="25" s="1"/>
  <c r="I128" i="25" a="1"/>
  <c r="I128" i="25" s="1"/>
  <c r="F127" i="25"/>
  <c r="B102" i="25" s="1"/>
  <c r="I126" i="25" a="1"/>
  <c r="I126" i="25" s="1"/>
  <c r="F121" i="25"/>
  <c r="O115" i="25" a="1"/>
  <c r="O115" i="25" s="1"/>
  <c r="O111" i="25" a="1"/>
  <c r="O111" i="25" s="1"/>
  <c r="I111" i="25" a="1"/>
  <c r="I111" i="25" s="1"/>
  <c r="O110" i="25"/>
  <c r="F110" i="25"/>
  <c r="B100" i="25" s="1"/>
  <c r="I109" i="25" a="1"/>
  <c r="I109" i="25" s="1"/>
  <c r="O107" i="25" a="1"/>
  <c r="O107" i="25" s="1"/>
  <c r="O106" i="25"/>
  <c r="F104" i="25"/>
  <c r="O103" i="25" a="1"/>
  <c r="O103" i="25" s="1"/>
  <c r="I101" i="25" a="1"/>
  <c r="I101" i="25" s="1"/>
  <c r="L100" i="25"/>
  <c r="O100" i="25" s="1" a="1"/>
  <c r="O100" i="25" s="1"/>
  <c r="B94" i="25"/>
  <c r="G88" i="25"/>
  <c r="O82" i="25" a="1"/>
  <c r="O82" i="25" s="1"/>
  <c r="F69" i="25" a="1"/>
  <c r="F69" i="25" s="1"/>
  <c r="I69" i="25" s="1" a="1"/>
  <c r="I69" i="25" s="1"/>
  <c r="O80" i="25" a="1"/>
  <c r="O80" i="25" s="1"/>
  <c r="L78" i="25" a="1"/>
  <c r="O79" i="25" s="1" a="1"/>
  <c r="O79" i="25" s="1"/>
  <c r="L65" i="25" a="1"/>
  <c r="O67" i="25" s="1" a="1"/>
  <c r="O67" i="25" s="1"/>
  <c r="L60" i="25" a="1"/>
  <c r="L60" i="25" s="1"/>
  <c r="B45" i="25" s="1"/>
  <c r="B17" i="25" s="1"/>
  <c r="B15" i="33" s="1"/>
  <c r="F46" i="25" a="1"/>
  <c r="I61" i="25" s="1" a="1"/>
  <c r="I61" i="25" s="1"/>
  <c r="L42" i="25" a="1"/>
  <c r="O56" i="25" s="1" a="1"/>
  <c r="O56" i="25" s="1"/>
  <c r="C40" i="25"/>
  <c r="G117" i="1"/>
  <c r="E11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D184" i="1"/>
  <c r="D183" i="1"/>
  <c r="D182" i="1"/>
  <c r="D181" i="1"/>
  <c r="D180" i="1"/>
  <c r="D179" i="1"/>
  <c r="D178" i="1"/>
  <c r="B184" i="1"/>
  <c r="B183" i="1"/>
  <c r="B182" i="1"/>
  <c r="B181" i="1"/>
  <c r="B180" i="1"/>
  <c r="B179" i="1"/>
  <c r="B17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D175" i="1"/>
  <c r="D174" i="1"/>
  <c r="D173" i="1"/>
  <c r="D172" i="1"/>
  <c r="D171" i="1"/>
  <c r="D170" i="1"/>
  <c r="D169" i="1"/>
  <c r="B175" i="1"/>
  <c r="B174" i="1"/>
  <c r="B173" i="1"/>
  <c r="B172" i="1"/>
  <c r="B171" i="1"/>
  <c r="B170" i="1"/>
  <c r="B169" i="1"/>
  <c r="E160" i="1"/>
  <c r="F160" i="1"/>
  <c r="G160" i="1"/>
  <c r="E161" i="1"/>
  <c r="F161" i="1"/>
  <c r="G161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D166" i="1"/>
  <c r="D165" i="1"/>
  <c r="D164" i="1"/>
  <c r="D163" i="1"/>
  <c r="D162" i="1"/>
  <c r="D161" i="1"/>
  <c r="D160" i="1"/>
  <c r="B166" i="1"/>
  <c r="B165" i="1"/>
  <c r="B164" i="1"/>
  <c r="B163" i="1"/>
  <c r="B162" i="1"/>
  <c r="B161" i="1"/>
  <c r="B160" i="1"/>
  <c r="E151" i="1"/>
  <c r="F151" i="1"/>
  <c r="G151" i="1"/>
  <c r="E153" i="1"/>
  <c r="F153" i="1"/>
  <c r="G153" i="1"/>
  <c r="E155" i="1"/>
  <c r="F155" i="1"/>
  <c r="G155" i="1"/>
  <c r="E156" i="1"/>
  <c r="G156" i="1"/>
  <c r="E157" i="1"/>
  <c r="F157" i="1"/>
  <c r="G157" i="1"/>
  <c r="D157" i="1"/>
  <c r="D156" i="1"/>
  <c r="D155" i="1"/>
  <c r="D154" i="1"/>
  <c r="D153" i="1"/>
  <c r="D152" i="1"/>
  <c r="D151" i="1"/>
  <c r="B157" i="1"/>
  <c r="B156" i="1"/>
  <c r="B155" i="1"/>
  <c r="B154" i="1"/>
  <c r="B153" i="1"/>
  <c r="B152" i="1"/>
  <c r="B15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D148" i="1"/>
  <c r="D147" i="1"/>
  <c r="D146" i="1"/>
  <c r="D145" i="1"/>
  <c r="D144" i="1"/>
  <c r="D143" i="1"/>
  <c r="D142" i="1"/>
  <c r="B148" i="1"/>
  <c r="B147" i="1"/>
  <c r="B146" i="1"/>
  <c r="B145" i="1"/>
  <c r="B144" i="1"/>
  <c r="B143" i="1"/>
  <c r="B142" i="1"/>
  <c r="D130" i="1"/>
  <c r="C130" i="1"/>
  <c r="D129" i="1"/>
  <c r="C129" i="1"/>
  <c r="C128" i="1"/>
  <c r="D128" i="1"/>
  <c r="D127" i="1"/>
  <c r="C127" i="1"/>
  <c r="D126" i="1"/>
  <c r="C126" i="1"/>
  <c r="D125" i="1"/>
  <c r="C125" i="1"/>
  <c r="D124" i="1"/>
  <c r="C124" i="1"/>
  <c r="B130" i="1"/>
  <c r="B129" i="1"/>
  <c r="B128" i="1"/>
  <c r="B127" i="1"/>
  <c r="B126" i="1"/>
  <c r="B125" i="1"/>
  <c r="B124" i="1"/>
  <c r="E133" i="1"/>
  <c r="F133" i="1"/>
  <c r="G133" i="1"/>
  <c r="E134" i="1"/>
  <c r="F134" i="1"/>
  <c r="G134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D139" i="1"/>
  <c r="D138" i="1"/>
  <c r="D137" i="1"/>
  <c r="D136" i="1"/>
  <c r="D135" i="1"/>
  <c r="D134" i="1"/>
  <c r="D133" i="1"/>
  <c r="B139" i="1"/>
  <c r="B138" i="1"/>
  <c r="B137" i="1"/>
  <c r="B136" i="1"/>
  <c r="B135" i="1"/>
  <c r="B134" i="1"/>
  <c r="B133" i="1"/>
  <c r="E115" i="1"/>
  <c r="F115" i="1"/>
  <c r="G115" i="1"/>
  <c r="E116" i="1"/>
  <c r="F116" i="1"/>
  <c r="G116" i="1"/>
  <c r="F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D121" i="1"/>
  <c r="D120" i="1"/>
  <c r="D119" i="1"/>
  <c r="D118" i="1"/>
  <c r="D117" i="1"/>
  <c r="D116" i="1"/>
  <c r="D115" i="1"/>
  <c r="B121" i="1"/>
  <c r="B120" i="1"/>
  <c r="B119" i="1"/>
  <c r="B118" i="1"/>
  <c r="B117" i="1"/>
  <c r="B116" i="1"/>
  <c r="B115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D112" i="1"/>
  <c r="D111" i="1"/>
  <c r="D110" i="1"/>
  <c r="D109" i="1"/>
  <c r="D108" i="1"/>
  <c r="D107" i="1"/>
  <c r="E106" i="1"/>
  <c r="F106" i="1"/>
  <c r="G106" i="1"/>
  <c r="D106" i="1"/>
  <c r="B112" i="1"/>
  <c r="B111" i="1"/>
  <c r="B110" i="1"/>
  <c r="B109" i="1"/>
  <c r="B108" i="1"/>
  <c r="B107" i="1"/>
  <c r="B106" i="1"/>
  <c r="I77" i="40" s="1" a="1"/>
  <c r="I77" i="40" s="1"/>
  <c r="B283" i="1"/>
  <c r="B282" i="1"/>
  <c r="B280" i="1"/>
  <c r="B279" i="1"/>
  <c r="B269" i="1"/>
  <c r="B268" i="1"/>
  <c r="B266" i="1"/>
  <c r="B265" i="1"/>
  <c r="B255" i="1"/>
  <c r="B254" i="1"/>
  <c r="B252" i="1"/>
  <c r="B251" i="1"/>
  <c r="B241" i="1"/>
  <c r="B240" i="1"/>
  <c r="B237" i="1"/>
  <c r="B227" i="1"/>
  <c r="B226" i="1"/>
  <c r="B224" i="1"/>
  <c r="B223" i="1"/>
  <c r="O91" i="40" l="1" a="1"/>
  <c r="O91" i="40" s="1"/>
  <c r="I91" i="40" a="1"/>
  <c r="I91" i="40" s="1"/>
  <c r="C92" i="40" s="1"/>
  <c r="I95" i="40" a="1"/>
  <c r="I95" i="40" s="1"/>
  <c r="C96" i="40" s="1"/>
  <c r="C9" i="40" s="1"/>
  <c r="D6" i="33" s="1"/>
  <c r="I79" i="34" a="1"/>
  <c r="I79" i="34" s="1"/>
  <c r="I79" i="40" a="1"/>
  <c r="I79" i="40" s="1"/>
  <c r="O92" i="40" a="1"/>
  <c r="O92" i="40" s="1"/>
  <c r="I90" i="40" a="1"/>
  <c r="I90" i="40" s="1"/>
  <c r="C91" i="40" s="1"/>
  <c r="F90" i="40"/>
  <c r="F91" i="40"/>
  <c r="I94" i="40" a="1"/>
  <c r="I94" i="40" s="1"/>
  <c r="C95" i="40" s="1"/>
  <c r="C8" i="40" s="1"/>
  <c r="D5" i="33" s="1"/>
  <c r="I94" i="30" a="1"/>
  <c r="I94" i="30" s="1"/>
  <c r="I77" i="34" a="1"/>
  <c r="I77" i="34" s="1"/>
  <c r="I95" i="34" a="1"/>
  <c r="I95" i="34" s="1"/>
  <c r="O91" i="34" a="1"/>
  <c r="O91" i="34" s="1"/>
  <c r="I91" i="34" a="1"/>
  <c r="I91" i="34" s="1"/>
  <c r="C92" i="34" s="1"/>
  <c r="O92" i="34" a="1"/>
  <c r="O92" i="34" s="1"/>
  <c r="I90" i="34" a="1"/>
  <c r="I90" i="34" s="1"/>
  <c r="C91" i="34" s="1"/>
  <c r="F90" i="34"/>
  <c r="F91" i="34"/>
  <c r="I94" i="34" a="1"/>
  <c r="I94" i="34" s="1"/>
  <c r="I94" i="29" a="1"/>
  <c r="I94" i="29" s="1"/>
  <c r="I95" i="31" a="1"/>
  <c r="I95" i="31" s="1"/>
  <c r="I95" i="29" a="1"/>
  <c r="I95" i="29" s="1"/>
  <c r="I95" i="30" a="1"/>
  <c r="I95" i="30" s="1"/>
  <c r="O91" i="31" a="1"/>
  <c r="O91" i="31" s="1"/>
  <c r="O91" i="29" a="1"/>
  <c r="O91" i="29" s="1"/>
  <c r="O91" i="30" a="1"/>
  <c r="O91" i="30" s="1"/>
  <c r="I79" i="31" a="1"/>
  <c r="I79" i="31" s="1"/>
  <c r="I79" i="29" a="1"/>
  <c r="I79" i="29" s="1"/>
  <c r="I79" i="30" a="1"/>
  <c r="I79" i="30" s="1"/>
  <c r="F90" i="29"/>
  <c r="F91" i="31"/>
  <c r="F91" i="29"/>
  <c r="F90" i="31"/>
  <c r="F91" i="30"/>
  <c r="F90" i="30"/>
  <c r="I94" i="31" a="1"/>
  <c r="I94" i="31" s="1"/>
  <c r="I77" i="29" a="1"/>
  <c r="I77" i="29" s="1"/>
  <c r="I77" i="30" a="1"/>
  <c r="I77" i="30" s="1"/>
  <c r="I77" i="31" a="1"/>
  <c r="I77" i="31" s="1"/>
  <c r="I90" i="30" a="1"/>
  <c r="I90" i="30" s="1"/>
  <c r="C91" i="30" s="1"/>
  <c r="I90" i="29" a="1"/>
  <c r="I90" i="29" s="1"/>
  <c r="C91" i="29" s="1"/>
  <c r="I90" i="31" a="1"/>
  <c r="I90" i="31" s="1"/>
  <c r="C91" i="31" s="1"/>
  <c r="I91" i="31" a="1"/>
  <c r="I91" i="31" s="1"/>
  <c r="C92" i="31" s="1"/>
  <c r="I91" i="29" a="1"/>
  <c r="I91" i="29" s="1"/>
  <c r="C92" i="29" s="1"/>
  <c r="I91" i="30" a="1"/>
  <c r="I91" i="30" s="1"/>
  <c r="C92" i="30" s="1"/>
  <c r="O92" i="30" a="1"/>
  <c r="O92" i="30" s="1"/>
  <c r="O92" i="31" a="1"/>
  <c r="O92" i="31" s="1"/>
  <c r="O92" i="29" a="1"/>
  <c r="O92" i="29" s="1"/>
  <c r="I73" i="25" a="1"/>
  <c r="I73" i="25" s="1"/>
  <c r="O49" i="25" a="1"/>
  <c r="O49" i="25" s="1"/>
  <c r="I53" i="25" a="1"/>
  <c r="I53" i="25" s="1"/>
  <c r="O54" i="25" a="1"/>
  <c r="O54" i="25" s="1"/>
  <c r="I58" i="25" a="1"/>
  <c r="I58" i="25" s="1"/>
  <c r="L42" i="25"/>
  <c r="B44" i="25" s="1"/>
  <c r="B16" i="25" s="1"/>
  <c r="B14" i="33" s="1"/>
  <c r="O46" i="25" a="1"/>
  <c r="O46" i="25" s="1"/>
  <c r="I47" i="25" a="1"/>
  <c r="I47" i="25" s="1"/>
  <c r="I56" i="25" a="1"/>
  <c r="I56" i="25" s="1"/>
  <c r="I50" i="25" a="1"/>
  <c r="I50" i="25" s="1"/>
  <c r="O66" i="25" a="1"/>
  <c r="O66" i="25" s="1"/>
  <c r="O65" i="25" s="1"/>
  <c r="C46" i="25" s="1"/>
  <c r="C18" i="25" s="1"/>
  <c r="C16" i="33" s="1"/>
  <c r="I70" i="25" a="1"/>
  <c r="I70" i="25" s="1"/>
  <c r="O63" i="25" a="1"/>
  <c r="O63" i="25" s="1"/>
  <c r="L78" i="25"/>
  <c r="B48" i="25" s="1"/>
  <c r="B25" i="25" s="1"/>
  <c r="B23" i="33" s="1"/>
  <c r="I131" i="25"/>
  <c r="O45" i="25" a="1"/>
  <c r="O45" i="25" s="1"/>
  <c r="O57" i="25" a="1"/>
  <c r="O57" i="25" s="1"/>
  <c r="M58" i="25" s="1"/>
  <c r="O58" i="25" s="1"/>
  <c r="O62" i="25" a="1"/>
  <c r="O62" i="25" s="1"/>
  <c r="I60" i="25" a="1"/>
  <c r="I60" i="25" s="1"/>
  <c r="I77" i="25" a="1"/>
  <c r="I77" i="25" s="1"/>
  <c r="I132" i="25"/>
  <c r="I49" i="25" a="1"/>
  <c r="I49" i="25" s="1"/>
  <c r="I62" i="25" a="1"/>
  <c r="I62" i="25" s="1"/>
  <c r="I79" i="25" a="1"/>
  <c r="I79" i="25" s="1"/>
  <c r="I94" i="25" a="1"/>
  <c r="I94" i="25" s="1"/>
  <c r="I91" i="25" a="1"/>
  <c r="I91" i="25" s="1"/>
  <c r="C92" i="25" s="1"/>
  <c r="O92" i="25" a="1"/>
  <c r="O92" i="25" s="1"/>
  <c r="I95" i="25" a="1"/>
  <c r="I95" i="25" s="1"/>
  <c r="O43" i="25" a="1"/>
  <c r="O43" i="25" s="1"/>
  <c r="I72" i="25" a="1"/>
  <c r="I72" i="25" s="1"/>
  <c r="G74" i="25" s="1"/>
  <c r="I74" i="25" s="1"/>
  <c r="F91" i="25"/>
  <c r="L65" i="25"/>
  <c r="B46" i="25" s="1"/>
  <c r="B18" i="25" s="1"/>
  <c r="B16" i="33" s="1"/>
  <c r="I90" i="25" a="1"/>
  <c r="I90" i="25" s="1"/>
  <c r="C91" i="25" s="1"/>
  <c r="O44" i="25" a="1"/>
  <c r="O44" i="25" s="1"/>
  <c r="O52" i="25" a="1"/>
  <c r="O52" i="25" s="1"/>
  <c r="F46" i="25"/>
  <c r="I46" i="25" s="1" a="1"/>
  <c r="I46" i="25" s="1"/>
  <c r="O61" i="25" a="1"/>
  <c r="O61" i="25" s="1"/>
  <c r="I52" i="25" a="1"/>
  <c r="I52" i="25" s="1"/>
  <c r="G54" i="25" s="1"/>
  <c r="I54" i="25" s="1"/>
  <c r="F90" i="25"/>
  <c r="I55" i="25" a="1"/>
  <c r="I55" i="25" s="1"/>
  <c r="O91" i="25" a="1"/>
  <c r="O91" i="25" s="1"/>
  <c r="O51" i="25" a="1"/>
  <c r="O51" i="25" s="1"/>
  <c r="I59" i="25" a="1"/>
  <c r="I59" i="25" s="1"/>
  <c r="E48" i="1"/>
  <c r="C7" i="40" l="1"/>
  <c r="D4" i="33" s="1"/>
  <c r="F125" i="40"/>
  <c r="L92" i="40"/>
  <c r="B92" i="40"/>
  <c r="F95" i="40"/>
  <c r="B96" i="40" s="1"/>
  <c r="B9" i="40" s="1"/>
  <c r="F117" i="40"/>
  <c r="B101" i="40" s="1"/>
  <c r="L91" i="40"/>
  <c r="O98" i="40" s="1"/>
  <c r="F94" i="40"/>
  <c r="B95" i="40" s="1"/>
  <c r="B8" i="40" s="1"/>
  <c r="B91" i="40"/>
  <c r="M97" i="40" s="1"/>
  <c r="O97" i="40" s="1"/>
  <c r="O99" i="40" s="1"/>
  <c r="O108" i="40" s="1"/>
  <c r="O122" i="40" s="1"/>
  <c r="F100" i="40"/>
  <c r="B99" i="40" s="1"/>
  <c r="F108" i="40"/>
  <c r="C95" i="34"/>
  <c r="C8" i="34" s="1"/>
  <c r="B92" i="34"/>
  <c r="L92" i="34"/>
  <c r="F125" i="34"/>
  <c r="F95" i="34"/>
  <c r="B96" i="34" s="1"/>
  <c r="B9" i="34" s="1"/>
  <c r="F117" i="34"/>
  <c r="B101" i="34" s="1"/>
  <c r="L91" i="34"/>
  <c r="F100" i="34"/>
  <c r="B99" i="34" s="1"/>
  <c r="F94" i="34"/>
  <c r="B95" i="34" s="1"/>
  <c r="B8" i="34" s="1"/>
  <c r="B91" i="34"/>
  <c r="M97" i="34" s="1"/>
  <c r="F108" i="34"/>
  <c r="C96" i="34"/>
  <c r="C9" i="34" s="1"/>
  <c r="I6" i="33" s="1"/>
  <c r="I5" i="33"/>
  <c r="I66" i="30"/>
  <c r="C95" i="31"/>
  <c r="C8" i="31" s="1"/>
  <c r="F5" i="33" s="1"/>
  <c r="B91" i="30"/>
  <c r="F100" i="30"/>
  <c r="B99" i="30" s="1"/>
  <c r="F94" i="30"/>
  <c r="B95" i="30" s="1"/>
  <c r="B8" i="30" s="1"/>
  <c r="L91" i="30"/>
  <c r="F108" i="30"/>
  <c r="F125" i="31"/>
  <c r="B92" i="31"/>
  <c r="F95" i="31"/>
  <c r="B96" i="31" s="1"/>
  <c r="B9" i="31" s="1"/>
  <c r="F117" i="31"/>
  <c r="B101" i="31" s="1"/>
  <c r="L92" i="31"/>
  <c r="C95" i="29"/>
  <c r="C8" i="29" s="1"/>
  <c r="G5" i="33" s="1"/>
  <c r="F125" i="30"/>
  <c r="B92" i="30"/>
  <c r="F95" i="30"/>
  <c r="B96" i="30" s="1"/>
  <c r="B9" i="30" s="1"/>
  <c r="F117" i="30"/>
  <c r="B101" i="30" s="1"/>
  <c r="L92" i="30"/>
  <c r="F108" i="29"/>
  <c r="B91" i="29"/>
  <c r="F94" i="29"/>
  <c r="B95" i="29" s="1"/>
  <c r="B8" i="29" s="1"/>
  <c r="L91" i="29"/>
  <c r="F100" i="29"/>
  <c r="B99" i="29" s="1"/>
  <c r="C96" i="30"/>
  <c r="C9" i="30" s="1"/>
  <c r="E6" i="33" s="1"/>
  <c r="F94" i="31"/>
  <c r="B95" i="31" s="1"/>
  <c r="B8" i="31" s="1"/>
  <c r="L91" i="31"/>
  <c r="F100" i="31"/>
  <c r="B99" i="31" s="1"/>
  <c r="B91" i="31"/>
  <c r="F108" i="31"/>
  <c r="C96" i="29"/>
  <c r="C9" i="29" s="1"/>
  <c r="G6" i="33" s="1"/>
  <c r="C95" i="30"/>
  <c r="C8" i="30" s="1"/>
  <c r="E5" i="33" s="1"/>
  <c r="L92" i="29"/>
  <c r="F117" i="29"/>
  <c r="B101" i="29" s="1"/>
  <c r="F125" i="29"/>
  <c r="B92" i="29"/>
  <c r="F95" i="29"/>
  <c r="B96" i="29" s="1"/>
  <c r="B9" i="29" s="1"/>
  <c r="C96" i="31"/>
  <c r="C9" i="31" s="1"/>
  <c r="F6" i="33" s="1"/>
  <c r="M47" i="25"/>
  <c r="O47" i="25" s="1"/>
  <c r="G51" i="25"/>
  <c r="I51" i="25" s="1"/>
  <c r="O60" i="25"/>
  <c r="C45" i="25" s="1"/>
  <c r="C17" i="25" s="1"/>
  <c r="C15" i="33" s="1"/>
  <c r="G57" i="25"/>
  <c r="I57" i="25" s="1"/>
  <c r="G48" i="25"/>
  <c r="I48" i="25" s="1"/>
  <c r="C102" i="25"/>
  <c r="C96" i="25"/>
  <c r="C9" i="25" s="1"/>
  <c r="C6" i="33" s="1"/>
  <c r="F125" i="25"/>
  <c r="B92" i="25"/>
  <c r="F117" i="25"/>
  <c r="B101" i="25" s="1"/>
  <c r="L92" i="25"/>
  <c r="F95" i="25"/>
  <c r="B96" i="25" s="1"/>
  <c r="B9" i="25" s="1"/>
  <c r="B6" i="33" s="1"/>
  <c r="F108" i="25"/>
  <c r="F100" i="25"/>
  <c r="B99" i="25" s="1"/>
  <c r="B91" i="25"/>
  <c r="M97" i="25" s="1"/>
  <c r="L91" i="25"/>
  <c r="O98" i="25" s="1"/>
  <c r="F94" i="25"/>
  <c r="B95" i="25" s="1"/>
  <c r="B8" i="25" s="1"/>
  <c r="B5" i="33" s="1"/>
  <c r="C100" i="25"/>
  <c r="C95" i="25"/>
  <c r="C8" i="25" s="1"/>
  <c r="C5" i="33" s="1"/>
  <c r="B87" i="1"/>
  <c r="C6" i="40" l="1"/>
  <c r="D3" i="33" s="1"/>
  <c r="O101" i="40"/>
  <c r="O102" i="40" s="1"/>
  <c r="O117" i="40" s="1"/>
  <c r="O124" i="40" s="1"/>
  <c r="O98" i="30"/>
  <c r="M97" i="30"/>
  <c r="O97" i="30" s="1"/>
  <c r="C53" i="30"/>
  <c r="C54" i="30" s="1"/>
  <c r="M83" i="30"/>
  <c r="O83" i="30" s="1"/>
  <c r="O78" i="30" s="1"/>
  <c r="C48" i="30" s="1"/>
  <c r="C25" i="30" s="1"/>
  <c r="O98" i="34"/>
  <c r="C7" i="34"/>
  <c r="O98" i="31"/>
  <c r="C7" i="25"/>
  <c r="C4" i="33" s="1"/>
  <c r="M97" i="31"/>
  <c r="O97" i="31" s="1"/>
  <c r="M97" i="29"/>
  <c r="O98" i="29"/>
  <c r="C7" i="31"/>
  <c r="F4" i="33" s="1"/>
  <c r="C7" i="30"/>
  <c r="E4" i="33" s="1"/>
  <c r="C7" i="29"/>
  <c r="G4" i="33" s="1"/>
  <c r="I45" i="25"/>
  <c r="C52" i="25" s="1"/>
  <c r="O97" i="25"/>
  <c r="O99" i="25" s="1"/>
  <c r="G48" i="1"/>
  <c r="I71" i="31" s="1" a="1"/>
  <c r="I71" i="31" s="1"/>
  <c r="I66" i="31" s="1"/>
  <c r="M83" i="31" s="1"/>
  <c r="O83" i="31" s="1"/>
  <c r="O78" i="31" s="1"/>
  <c r="C48" i="31" s="1"/>
  <c r="C25" i="31" s="1"/>
  <c r="F23" i="33" s="1"/>
  <c r="F48" i="1"/>
  <c r="O101" i="30" l="1"/>
  <c r="O112" i="30" s="1"/>
  <c r="O123" i="30" s="1"/>
  <c r="I71" i="25" a="1"/>
  <c r="I71" i="25" s="1"/>
  <c r="I71" i="40" a="1"/>
  <c r="I71" i="40" s="1"/>
  <c r="I66" i="40" s="1"/>
  <c r="O112" i="40"/>
  <c r="O123" i="40" s="1"/>
  <c r="O101" i="34"/>
  <c r="O99" i="34"/>
  <c r="O108" i="34" s="1"/>
  <c r="O122" i="34" s="1"/>
  <c r="O101" i="31"/>
  <c r="O112" i="31" s="1"/>
  <c r="O123" i="31" s="1"/>
  <c r="C53" i="31"/>
  <c r="C54" i="31" s="1"/>
  <c r="C6" i="34"/>
  <c r="I4" i="33"/>
  <c r="E23" i="33"/>
  <c r="C6" i="29"/>
  <c r="C6" i="31"/>
  <c r="C6" i="30"/>
  <c r="C6" i="25"/>
  <c r="O99" i="31"/>
  <c r="O108" i="31" s="1"/>
  <c r="O122" i="31" s="1"/>
  <c r="O99" i="30"/>
  <c r="O99" i="29"/>
  <c r="O108" i="29" s="1"/>
  <c r="O122" i="29" s="1"/>
  <c r="O101" i="29"/>
  <c r="C24" i="30"/>
  <c r="K37" i="27"/>
  <c r="K28" i="27" s="1"/>
  <c r="C24" i="31"/>
  <c r="F22" i="33" s="1"/>
  <c r="J37" i="27"/>
  <c r="J28" i="27" s="1"/>
  <c r="M81" i="25"/>
  <c r="O81" i="25" s="1"/>
  <c r="O108" i="25"/>
  <c r="O122" i="25" s="1"/>
  <c r="O101" i="25"/>
  <c r="O102" i="25" s="1"/>
  <c r="O117" i="25" s="1"/>
  <c r="O124" i="25" s="1"/>
  <c r="E40" i="1"/>
  <c r="O102" i="30" l="1"/>
  <c r="O117" i="30" s="1"/>
  <c r="O124" i="30" s="1"/>
  <c r="C53" i="40"/>
  <c r="C54" i="40" s="1"/>
  <c r="M83" i="40"/>
  <c r="O83" i="40" s="1"/>
  <c r="O78" i="40" s="1"/>
  <c r="C48" i="40" s="1"/>
  <c r="C25" i="40" s="1"/>
  <c r="O102" i="34"/>
  <c r="O117" i="34" s="1"/>
  <c r="O124" i="34" s="1"/>
  <c r="I3" i="33"/>
  <c r="L16" i="27"/>
  <c r="L10" i="27" s="1"/>
  <c r="H16" i="27"/>
  <c r="H10" i="27" s="1"/>
  <c r="C3" i="33"/>
  <c r="K16" i="27"/>
  <c r="K10" i="27" s="1"/>
  <c r="E3" i="33"/>
  <c r="F3" i="33"/>
  <c r="G3" i="33"/>
  <c r="O112" i="34"/>
  <c r="O123" i="34" s="1"/>
  <c r="E22" i="33"/>
  <c r="I16" i="27"/>
  <c r="I10" i="27" s="1"/>
  <c r="J16" i="27"/>
  <c r="J10" i="27" s="1"/>
  <c r="O102" i="31"/>
  <c r="O117" i="31" s="1"/>
  <c r="O124" i="31" s="1"/>
  <c r="O108" i="30"/>
  <c r="O122" i="30" s="1"/>
  <c r="O102" i="29"/>
  <c r="O117" i="29" s="1"/>
  <c r="O124" i="29" s="1"/>
  <c r="O112" i="29"/>
  <c r="O123" i="29" s="1"/>
  <c r="O112" i="25"/>
  <c r="O123" i="25" s="1"/>
  <c r="M70" i="1"/>
  <c r="L70" i="1"/>
  <c r="K70" i="1"/>
  <c r="J70" i="1"/>
  <c r="I70" i="1"/>
  <c r="F70" i="1"/>
  <c r="G70" i="1"/>
  <c r="E70" i="1"/>
  <c r="F67" i="1"/>
  <c r="O53" i="40" s="1" a="1"/>
  <c r="O53" i="40" s="1"/>
  <c r="M55" i="40" s="1"/>
  <c r="O55" i="40" s="1"/>
  <c r="G67" i="1"/>
  <c r="E67" i="1"/>
  <c r="M326" i="1"/>
  <c r="L326" i="1"/>
  <c r="K326" i="1"/>
  <c r="J326" i="1"/>
  <c r="I326" i="1"/>
  <c r="H326" i="1"/>
  <c r="G326" i="1"/>
  <c r="F326" i="1"/>
  <c r="E326" i="1"/>
  <c r="M318" i="1"/>
  <c r="L318" i="1"/>
  <c r="K318" i="1"/>
  <c r="J318" i="1"/>
  <c r="I318" i="1"/>
  <c r="H318" i="1"/>
  <c r="F318" i="1"/>
  <c r="G318" i="1"/>
  <c r="E318" i="1"/>
  <c r="B318" i="1"/>
  <c r="E367" i="1"/>
  <c r="F367" i="1"/>
  <c r="G367" i="1"/>
  <c r="C24" i="40" l="1"/>
  <c r="D22" i="33" s="1"/>
  <c r="D23" i="33"/>
  <c r="I118" i="25" a="1"/>
  <c r="I118" i="25" s="1"/>
  <c r="I118" i="40" a="1"/>
  <c r="I118" i="40" s="1"/>
  <c r="O53" i="34" a="1"/>
  <c r="O53" i="34" s="1"/>
  <c r="M55" i="34" s="1"/>
  <c r="O55" i="34" s="1"/>
  <c r="O53" i="30" a="1"/>
  <c r="O53" i="30" s="1"/>
  <c r="M55" i="30" s="1"/>
  <c r="O55" i="30" s="1"/>
  <c r="O53" i="31" a="1"/>
  <c r="O53" i="31" s="1"/>
  <c r="M55" i="31" s="1"/>
  <c r="O55" i="31" s="1"/>
  <c r="O42" i="31" s="1"/>
  <c r="C44" i="31" s="1"/>
  <c r="O53" i="29" a="1"/>
  <c r="O53" i="29" s="1"/>
  <c r="M55" i="29" s="1"/>
  <c r="O55" i="29" s="1"/>
  <c r="O53" i="25" a="1"/>
  <c r="O53" i="25" s="1"/>
  <c r="M55" i="25" s="1"/>
  <c r="O55" i="25" s="1"/>
  <c r="F290" i="1"/>
  <c r="G289" i="1"/>
  <c r="E289" i="1"/>
  <c r="I101" i="29" s="1" a="1"/>
  <c r="I101" i="29" s="1"/>
  <c r="B300" i="1"/>
  <c r="B301" i="1"/>
  <c r="B302" i="1"/>
  <c r="B303" i="1"/>
  <c r="B304" i="1"/>
  <c r="B305" i="1"/>
  <c r="B326" i="1" s="1"/>
  <c r="B306" i="1"/>
  <c r="B307" i="1"/>
  <c r="B299" i="1"/>
  <c r="I102" i="40" l="1" a="1"/>
  <c r="I102" i="40" s="1"/>
  <c r="G103" i="40" s="1"/>
  <c r="I103" i="40" s="1"/>
  <c r="I105" i="40" a="1"/>
  <c r="I105" i="40" s="1"/>
  <c r="I119" i="40" a="1"/>
  <c r="I119" i="40" s="1"/>
  <c r="G120" i="40" s="1"/>
  <c r="I120" i="40" s="1"/>
  <c r="I122" i="40" a="1"/>
  <c r="I122" i="40" s="1"/>
  <c r="I102" i="34" a="1"/>
  <c r="I102" i="34" s="1"/>
  <c r="G103" i="34" s="1"/>
  <c r="I103" i="34" s="1"/>
  <c r="I105" i="34" a="1"/>
  <c r="I105" i="34" s="1"/>
  <c r="I102" i="31" a="1"/>
  <c r="I102" i="31" s="1"/>
  <c r="G103" i="31" s="1"/>
  <c r="I103" i="31" s="1"/>
  <c r="I105" i="29" a="1"/>
  <c r="I105" i="29" s="1"/>
  <c r="I105" i="30" a="1"/>
  <c r="I105" i="30" s="1"/>
  <c r="I105" i="31" a="1"/>
  <c r="I105" i="31" s="1"/>
  <c r="I102" i="30" a="1"/>
  <c r="I102" i="30" s="1"/>
  <c r="G103" i="30" s="1"/>
  <c r="I103" i="30" s="1"/>
  <c r="I102" i="29" a="1"/>
  <c r="I102" i="29" s="1"/>
  <c r="G103" i="29" s="1"/>
  <c r="I103" i="29" s="1"/>
  <c r="C16" i="31"/>
  <c r="I122" i="25" a="1"/>
  <c r="I122" i="25" s="1"/>
  <c r="I119" i="25" a="1"/>
  <c r="I119" i="25" s="1"/>
  <c r="G120" i="25" s="1"/>
  <c r="I120" i="25" s="1"/>
  <c r="I105" i="25" a="1"/>
  <c r="I105" i="25" s="1"/>
  <c r="I102" i="25" a="1"/>
  <c r="I102" i="25" s="1"/>
  <c r="G103" i="25" s="1"/>
  <c r="I103" i="25" s="1"/>
  <c r="G290" i="1"/>
  <c r="E290" i="1"/>
  <c r="F14" i="33" l="1"/>
  <c r="I43" i="25"/>
  <c r="C43" i="25" s="1"/>
  <c r="C15" i="25" s="1"/>
  <c r="C13" i="33" s="1"/>
  <c r="G52" i="1"/>
  <c r="E52" i="1"/>
  <c r="I75" i="40" s="1" a="1"/>
  <c r="I75" i="40" s="1"/>
  <c r="F352" i="1"/>
  <c r="I111" i="29" s="1" a="1"/>
  <c r="I111" i="29" s="1"/>
  <c r="G352" i="1"/>
  <c r="E352" i="1"/>
  <c r="F62" i="1"/>
  <c r="O48" i="40" s="1" a="1"/>
  <c r="O48" i="40" s="1"/>
  <c r="M50" i="40" s="1"/>
  <c r="O50" i="40" s="1"/>
  <c r="O42" i="40" s="1"/>
  <c r="C44" i="40" s="1"/>
  <c r="C16" i="40" l="1"/>
  <c r="I75" i="34" a="1"/>
  <c r="I75" i="34" s="1"/>
  <c r="I66" i="34" s="1"/>
  <c r="I75" i="29" a="1"/>
  <c r="I75" i="29" s="1"/>
  <c r="I66" i="29" s="1"/>
  <c r="I75" i="31" a="1"/>
  <c r="I75" i="31" s="1"/>
  <c r="I75" i="30" a="1"/>
  <c r="I75" i="30" s="1"/>
  <c r="O48" i="34" a="1"/>
  <c r="O48" i="34" s="1"/>
  <c r="M50" i="34" s="1"/>
  <c r="O50" i="34" s="1"/>
  <c r="O42" i="34" s="1"/>
  <c r="C44" i="34" s="1"/>
  <c r="O48" i="30" a="1"/>
  <c r="O48" i="30" s="1"/>
  <c r="M50" i="30" s="1"/>
  <c r="O50" i="30" s="1"/>
  <c r="O42" i="30" s="1"/>
  <c r="C44" i="30" s="1"/>
  <c r="O48" i="29" a="1"/>
  <c r="O48" i="29" s="1"/>
  <c r="M50" i="29" s="1"/>
  <c r="O50" i="29" s="1"/>
  <c r="O42" i="29" s="1"/>
  <c r="C44" i="29" s="1"/>
  <c r="O48" i="25" a="1"/>
  <c r="O48" i="25" s="1"/>
  <c r="M50" i="25" s="1"/>
  <c r="O50" i="25" s="1"/>
  <c r="O42" i="25" s="1"/>
  <c r="C44" i="25" s="1"/>
  <c r="C16" i="25" s="1"/>
  <c r="C14" i="33" s="1"/>
  <c r="I75" i="25" a="1"/>
  <c r="I75" i="25" s="1"/>
  <c r="I66" i="25" s="1"/>
  <c r="D14" i="33" l="1"/>
  <c r="C16" i="29"/>
  <c r="C16" i="30"/>
  <c r="C16" i="34"/>
  <c r="C53" i="29"/>
  <c r="C54" i="29" s="1"/>
  <c r="M83" i="29"/>
  <c r="O83" i="29" s="1"/>
  <c r="O78" i="29" s="1"/>
  <c r="C48" i="29" s="1"/>
  <c r="C25" i="29" s="1"/>
  <c r="M83" i="34"/>
  <c r="O83" i="34" s="1"/>
  <c r="O78" i="34" s="1"/>
  <c r="C48" i="34" s="1"/>
  <c r="C25" i="34" s="1"/>
  <c r="C53" i="34"/>
  <c r="C54" i="34" s="1"/>
  <c r="C53" i="25"/>
  <c r="M83" i="25"/>
  <c r="O83" i="25" s="1"/>
  <c r="O78" i="25" s="1"/>
  <c r="C48" i="25" s="1"/>
  <c r="C25" i="25" s="1"/>
  <c r="F361" i="1"/>
  <c r="I113" i="40" s="1" a="1"/>
  <c r="I113" i="40" s="1"/>
  <c r="F360" i="1"/>
  <c r="F359" i="1"/>
  <c r="F358" i="1"/>
  <c r="I113" i="30" s="1" a="1"/>
  <c r="I113" i="30" s="1"/>
  <c r="I115" i="40" l="1"/>
  <c r="I114" i="40"/>
  <c r="I14" i="33"/>
  <c r="G23" i="33"/>
  <c r="C24" i="29"/>
  <c r="G22" i="33" s="1"/>
  <c r="I37" i="27"/>
  <c r="I28" i="27" s="1"/>
  <c r="I114" i="30"/>
  <c r="I115" i="30"/>
  <c r="I113" i="34" a="1"/>
  <c r="I113" i="34" s="1"/>
  <c r="I113" i="31" a="1"/>
  <c r="I113" i="31" s="1"/>
  <c r="I115" i="31" s="1"/>
  <c r="I113" i="29" a="1"/>
  <c r="I113" i="29" s="1"/>
  <c r="E14" i="33"/>
  <c r="L37" i="27"/>
  <c r="L28" i="27" s="1"/>
  <c r="C24" i="34"/>
  <c r="I22" i="33" s="1"/>
  <c r="I23" i="33"/>
  <c r="G14" i="33"/>
  <c r="C23" i="33"/>
  <c r="C24" i="25"/>
  <c r="H37" i="27"/>
  <c r="H28" i="27" s="1"/>
  <c r="C54" i="25"/>
  <c r="I113" i="25" a="1"/>
  <c r="I113" i="25" s="1"/>
  <c r="I114" i="25" l="1"/>
  <c r="I115" i="25"/>
  <c r="C22" i="33"/>
  <c r="B86" i="1"/>
  <c r="B88" i="1"/>
  <c r="B89" i="1"/>
  <c r="B90" i="1"/>
  <c r="B85" i="1"/>
  <c r="G368" i="1" l="1"/>
  <c r="E368" i="1"/>
  <c r="F368" i="1"/>
  <c r="B406" i="1" l="1"/>
  <c r="O116" i="40" s="1" a="1"/>
  <c r="O116" i="40" s="1"/>
  <c r="O118" i="40" s="1"/>
  <c r="O119" i="40" s="1"/>
  <c r="O125" i="40" s="1"/>
  <c r="O126" i="40" s="1"/>
  <c r="O127" i="40" s="1"/>
  <c r="B407" i="1"/>
  <c r="B408" i="1"/>
  <c r="B409" i="1"/>
  <c r="B410" i="1"/>
  <c r="B411" i="1"/>
  <c r="B412" i="1"/>
  <c r="O116" i="34" l="1" a="1"/>
  <c r="O116" i="34" s="1"/>
  <c r="O118" i="34" s="1"/>
  <c r="O119" i="34" s="1"/>
  <c r="O125" i="34" s="1"/>
  <c r="O126" i="34" s="1"/>
  <c r="O127" i="34" s="1"/>
  <c r="O116" i="31" a="1"/>
  <c r="O116" i="31" s="1"/>
  <c r="O118" i="31" s="1"/>
  <c r="O119" i="31" s="1"/>
  <c r="O125" i="31" s="1"/>
  <c r="O126" i="31" s="1"/>
  <c r="O127" i="31" s="1"/>
  <c r="O116" i="30" a="1"/>
  <c r="O116" i="30" s="1"/>
  <c r="O118" i="30" s="1"/>
  <c r="O119" i="30" s="1"/>
  <c r="O125" i="30" s="1"/>
  <c r="O126" i="30" s="1"/>
  <c r="O127" i="30" s="1"/>
  <c r="O116" i="29" a="1"/>
  <c r="O116" i="29" s="1"/>
  <c r="O118" i="29" s="1"/>
  <c r="O119" i="29" s="1"/>
  <c r="O125" i="29" s="1"/>
  <c r="O126" i="29" s="1"/>
  <c r="O127" i="29" s="1"/>
  <c r="O116" i="25" a="1"/>
  <c r="O116" i="25" s="1"/>
  <c r="O118" i="25" s="1"/>
  <c r="O119" i="25" s="1"/>
  <c r="O125" i="25" s="1"/>
  <c r="O126" i="25" s="1"/>
  <c r="G335" i="1"/>
  <c r="F335" i="1"/>
  <c r="E335" i="1"/>
  <c r="D335" i="1"/>
  <c r="I121" i="40" s="1" a="1"/>
  <c r="I121" i="40" s="1"/>
  <c r="G123" i="40" s="1"/>
  <c r="I123" i="40" s="1"/>
  <c r="I117" i="40" s="1"/>
  <c r="C101" i="40" s="1"/>
  <c r="G313" i="1"/>
  <c r="F313" i="1"/>
  <c r="I104" i="40" s="1" a="1"/>
  <c r="I104" i="40" s="1"/>
  <c r="G106" i="40" s="1"/>
  <c r="I106" i="40" s="1"/>
  <c r="I100" i="40" s="1"/>
  <c r="C99" i="40" s="1"/>
  <c r="E313" i="1"/>
  <c r="D313" i="1"/>
  <c r="B84" i="1"/>
  <c r="L69" i="40" s="1" a="1"/>
  <c r="C104" i="40" l="1"/>
  <c r="C20" i="40" s="1"/>
  <c r="D18" i="33" s="1"/>
  <c r="L69" i="40"/>
  <c r="B47" i="40" s="1"/>
  <c r="B19" i="40" s="1"/>
  <c r="O75" i="40" a="1"/>
  <c r="O75" i="40" s="1"/>
  <c r="O71" i="40" a="1"/>
  <c r="O71" i="40" s="1"/>
  <c r="O74" i="40" a="1"/>
  <c r="O74" i="40" s="1"/>
  <c r="O72" i="40" a="1"/>
  <c r="O72" i="40" s="1"/>
  <c r="O76" i="40" a="1"/>
  <c r="O76" i="40" s="1"/>
  <c r="O73" i="40" a="1"/>
  <c r="O73" i="40" s="1"/>
  <c r="O70" i="40" a="1"/>
  <c r="O70" i="40" s="1"/>
  <c r="I121" i="34" a="1"/>
  <c r="I121" i="34" s="1"/>
  <c r="G123" i="34" s="1"/>
  <c r="I123" i="34" s="1"/>
  <c r="I117" i="34" s="1"/>
  <c r="C101" i="34" s="1"/>
  <c r="I121" i="29" a="1"/>
  <c r="I121" i="29" s="1"/>
  <c r="G123" i="29" s="1"/>
  <c r="I123" i="29" s="1"/>
  <c r="I117" i="29" s="1"/>
  <c r="C101" i="29" s="1"/>
  <c r="I121" i="31" a="1"/>
  <c r="I121" i="31" s="1"/>
  <c r="G123" i="31" s="1"/>
  <c r="I123" i="31" s="1"/>
  <c r="I117" i="31" s="1"/>
  <c r="C101" i="31" s="1"/>
  <c r="I121" i="30" a="1"/>
  <c r="I121" i="30" s="1"/>
  <c r="G123" i="30" s="1"/>
  <c r="I123" i="30" s="1"/>
  <c r="I117" i="30" s="1"/>
  <c r="C101" i="30" s="1"/>
  <c r="I104" i="34" a="1"/>
  <c r="I104" i="34" s="1"/>
  <c r="G106" i="34" s="1"/>
  <c r="I106" i="34" s="1"/>
  <c r="I100" i="34" s="1"/>
  <c r="C99" i="34" s="1"/>
  <c r="C104" i="34" s="1"/>
  <c r="C20" i="34" s="1"/>
  <c r="I18" i="33" s="1"/>
  <c r="I104" i="29" a="1"/>
  <c r="I104" i="29" s="1"/>
  <c r="G106" i="29" s="1"/>
  <c r="I106" i="29" s="1"/>
  <c r="I100" i="29" s="1"/>
  <c r="C99" i="29" s="1"/>
  <c r="I104" i="30" a="1"/>
  <c r="I104" i="30" s="1"/>
  <c r="G106" i="30" s="1"/>
  <c r="I106" i="30" s="1"/>
  <c r="I100" i="30" s="1"/>
  <c r="C99" i="30" s="1"/>
  <c r="I104" i="31" a="1"/>
  <c r="I104" i="31" s="1"/>
  <c r="G106" i="31" s="1"/>
  <c r="I106" i="31" s="1"/>
  <c r="I100" i="31" s="1"/>
  <c r="C99" i="31" s="1"/>
  <c r="L69" i="34" a="1"/>
  <c r="L69" i="30" a="1"/>
  <c r="L69" i="29" a="1"/>
  <c r="L69" i="31" a="1"/>
  <c r="L69" i="25" a="1"/>
  <c r="I121" i="25" a="1"/>
  <c r="I121" i="25" s="1"/>
  <c r="G123" i="25" s="1"/>
  <c r="I123" i="25" s="1"/>
  <c r="I117" i="25" s="1"/>
  <c r="C101" i="25" s="1"/>
  <c r="O127" i="25"/>
  <c r="C103" i="25"/>
  <c r="I104" i="25" a="1"/>
  <c r="I104" i="25" s="1"/>
  <c r="G106" i="25" s="1"/>
  <c r="I106" i="25" s="1"/>
  <c r="I100" i="25" s="1"/>
  <c r="C99" i="25" s="1"/>
  <c r="C104" i="31" l="1"/>
  <c r="C20" i="31" s="1"/>
  <c r="F18" i="33" s="1"/>
  <c r="O69" i="40"/>
  <c r="C47" i="40" s="1"/>
  <c r="C104" i="30"/>
  <c r="C20" i="30" s="1"/>
  <c r="E18" i="33" s="1"/>
  <c r="L69" i="31"/>
  <c r="B47" i="31" s="1"/>
  <c r="B19" i="31" s="1"/>
  <c r="O75" i="31" a="1"/>
  <c r="O75" i="31" s="1"/>
  <c r="O73" i="31" a="1"/>
  <c r="O73" i="31" s="1"/>
  <c r="O71" i="31" a="1"/>
  <c r="O71" i="31" s="1"/>
  <c r="O76" i="31" a="1"/>
  <c r="O76" i="31" s="1"/>
  <c r="O72" i="31" a="1"/>
  <c r="O72" i="31" s="1"/>
  <c r="O74" i="31" a="1"/>
  <c r="O74" i="31" s="1"/>
  <c r="O70" i="31" a="1"/>
  <c r="O70" i="31" s="1"/>
  <c r="L69" i="29"/>
  <c r="B47" i="29" s="1"/>
  <c r="B19" i="29" s="1"/>
  <c r="O75" i="29" a="1"/>
  <c r="O75" i="29" s="1"/>
  <c r="O76" i="29" a="1"/>
  <c r="O76" i="29" s="1"/>
  <c r="O72" i="29" a="1"/>
  <c r="O72" i="29" s="1"/>
  <c r="O73" i="29" a="1"/>
  <c r="O73" i="29" s="1"/>
  <c r="O74" i="29" a="1"/>
  <c r="O74" i="29" s="1"/>
  <c r="O71" i="29" a="1"/>
  <c r="O71" i="29" s="1"/>
  <c r="O70" i="29" a="1"/>
  <c r="O70" i="29" s="1"/>
  <c r="L69" i="30"/>
  <c r="B47" i="30" s="1"/>
  <c r="B19" i="30" s="1"/>
  <c r="O75" i="30" a="1"/>
  <c r="O75" i="30" s="1"/>
  <c r="O76" i="30" a="1"/>
  <c r="O76" i="30" s="1"/>
  <c r="O73" i="30" a="1"/>
  <c r="O73" i="30" s="1"/>
  <c r="O74" i="30" a="1"/>
  <c r="O74" i="30" s="1"/>
  <c r="O71" i="30" a="1"/>
  <c r="O71" i="30" s="1"/>
  <c r="O70" i="30" a="1"/>
  <c r="O70" i="30" s="1"/>
  <c r="O72" i="30" a="1"/>
  <c r="O72" i="30" s="1"/>
  <c r="C104" i="29"/>
  <c r="C20" i="29" s="1"/>
  <c r="G18" i="33" s="1"/>
  <c r="L69" i="34"/>
  <c r="B47" i="34" s="1"/>
  <c r="B19" i="34" s="1"/>
  <c r="O74" i="34" a="1"/>
  <c r="O74" i="34" s="1"/>
  <c r="O76" i="34" a="1"/>
  <c r="O76" i="34" s="1"/>
  <c r="O75" i="34" a="1"/>
  <c r="O75" i="34" s="1"/>
  <c r="O73" i="34" a="1"/>
  <c r="O73" i="34" s="1"/>
  <c r="O70" i="34" a="1"/>
  <c r="O70" i="34" s="1"/>
  <c r="O72" i="34" a="1"/>
  <c r="O72" i="34" s="1"/>
  <c r="O71" i="34" a="1"/>
  <c r="O71" i="34" s="1"/>
  <c r="L69" i="25"/>
  <c r="B47" i="25" s="1"/>
  <c r="B19" i="25" s="1"/>
  <c r="B17" i="33" s="1"/>
  <c r="O73" i="25" a="1"/>
  <c r="O73" i="25" s="1"/>
  <c r="O76" i="25" a="1"/>
  <c r="O76" i="25" s="1"/>
  <c r="O75" i="25" a="1"/>
  <c r="O75" i="25" s="1"/>
  <c r="O74" i="25" a="1"/>
  <c r="O74" i="25" s="1"/>
  <c r="O72" i="25" a="1"/>
  <c r="O72" i="25" s="1"/>
  <c r="O71" i="25" a="1"/>
  <c r="O71" i="25" s="1"/>
  <c r="O70" i="25" a="1"/>
  <c r="O70" i="25" s="1"/>
  <c r="C104" i="25"/>
  <c r="C20" i="25" s="1"/>
  <c r="C18" i="33" s="1"/>
  <c r="O69" i="29" l="1"/>
  <c r="C47" i="29" s="1"/>
  <c r="O69" i="31"/>
  <c r="C47" i="31" s="1"/>
  <c r="C49" i="31" s="1"/>
  <c r="O69" i="34"/>
  <c r="C47" i="34" s="1"/>
  <c r="C49" i="34" s="1"/>
  <c r="C19" i="40"/>
  <c r="C49" i="40"/>
  <c r="C19" i="29"/>
  <c r="C49" i="29"/>
  <c r="C19" i="31"/>
  <c r="O69" i="30"/>
  <c r="C47" i="30" s="1"/>
  <c r="O69" i="25"/>
  <c r="C47" i="25" s="1"/>
  <c r="C19" i="25" s="1"/>
  <c r="C17" i="33" s="1"/>
  <c r="D17" i="33" l="1"/>
  <c r="C14" i="40"/>
  <c r="C19" i="34"/>
  <c r="I17" i="33"/>
  <c r="C14" i="34"/>
  <c r="F17" i="33"/>
  <c r="C14" i="31"/>
  <c r="C19" i="30"/>
  <c r="C49" i="30"/>
  <c r="G17" i="33"/>
  <c r="C14" i="29"/>
  <c r="C14" i="25"/>
  <c r="C12" i="33" s="1"/>
  <c r="C49" i="25"/>
  <c r="D12" i="33" l="1"/>
  <c r="C22" i="40"/>
  <c r="J25" i="27"/>
  <c r="J18" i="27" s="1"/>
  <c r="J26" i="27" s="1"/>
  <c r="J39" i="27" s="1"/>
  <c r="J41" i="27" s="1"/>
  <c r="J42" i="27" s="1"/>
  <c r="F12" i="33"/>
  <c r="C22" i="31"/>
  <c r="E17" i="33"/>
  <c r="C14" i="30"/>
  <c r="I25" i="27"/>
  <c r="I18" i="27" s="1"/>
  <c r="I26" i="27" s="1"/>
  <c r="I39" i="27" s="1"/>
  <c r="I41" i="27" s="1"/>
  <c r="I42" i="27" s="1"/>
  <c r="G12" i="33"/>
  <c r="C22" i="29"/>
  <c r="I12" i="33"/>
  <c r="L25" i="27"/>
  <c r="L18" i="27" s="1"/>
  <c r="L26" i="27" s="1"/>
  <c r="L39" i="27" s="1"/>
  <c r="L41" i="27" s="1"/>
  <c r="L42" i="27" s="1"/>
  <c r="C22" i="34"/>
  <c r="C22" i="25"/>
  <c r="C20" i="33" s="1"/>
  <c r="H25" i="27"/>
  <c r="H18" i="27" s="1"/>
  <c r="H26" i="27" s="1"/>
  <c r="H39" i="27" s="1"/>
  <c r="H41" i="27" s="1"/>
  <c r="H42" i="27" s="1"/>
  <c r="D20" i="33" l="1"/>
  <c r="C33" i="40"/>
  <c r="D31" i="33" s="1"/>
  <c r="G20" i="33"/>
  <c r="C33" i="29"/>
  <c r="G31" i="33" s="1"/>
  <c r="K25" i="27"/>
  <c r="K18" i="27" s="1"/>
  <c r="K26" i="27" s="1"/>
  <c r="K39" i="27" s="1"/>
  <c r="K41" i="27" s="1"/>
  <c r="K42" i="27" s="1"/>
  <c r="E12" i="33"/>
  <c r="C22" i="30"/>
  <c r="I20" i="33"/>
  <c r="C33" i="34"/>
  <c r="I31" i="33" s="1"/>
  <c r="F20" i="33"/>
  <c r="C33" i="31"/>
  <c r="F31" i="33" s="1"/>
  <c r="C33" i="25"/>
  <c r="E20" i="33" l="1"/>
  <c r="C33" i="30"/>
  <c r="E31" i="33" s="1"/>
  <c r="C31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<sst xmlns="http://schemas.openxmlformats.org/spreadsheetml/2006/main" count="4382" uniqueCount="690">
  <si>
    <t>Rekentool verdienmodel natte teelten - Methode, handleiding &amp; scope</t>
  </si>
  <si>
    <t>Versiebeheer</t>
  </si>
  <si>
    <t>Versie</t>
  </si>
  <si>
    <t>3.0</t>
  </si>
  <si>
    <t>Datum</t>
  </si>
  <si>
    <t>21 januari 2022</t>
  </si>
  <si>
    <t>Auteurs</t>
  </si>
  <si>
    <t>Spaak Circular Solutions - Ivano Pezzotta ; The Spring Company - Gerben Nij Bijvank ; Van de Crommert Projects &amp; Innovations - Job van de Crommert</t>
  </si>
  <si>
    <t>Opdrachtgevers</t>
  </si>
  <si>
    <t>Waterschap Aa en Maas</t>
  </si>
  <si>
    <t>Format</t>
  </si>
  <si>
    <t>- Dit rekenmodel berekent het verdienmodel van de teelt van lisdodde, riet, miscanthus en hennep. Hiernaast is de marktomvang lisdodde uit eerder onderzoek, en het vergelijk met melkveebedrijf meegenomen.</t>
  </si>
  <si>
    <t>- Het rekenmodel biedt flexibel in te vullen scenario's. Dit kunnen generieke scenario's zijn, zoals beste/gemiddeld/slechtste, of individuele situaties van boeren of type percelen.</t>
  </si>
  <si>
    <t xml:space="preserve">- Het rekenmodel is daarmee één-op-één overdraagbaar aan agrariërs om voor hun individuele situatie de kansrijkheid van natte teelten te bepalen. </t>
  </si>
  <si>
    <t>- Het rekenmodel biedt in het datablad extra ruimte voor het berekenen van silphie en een ander gewas.</t>
  </si>
  <si>
    <t>- Door middel van dit voorblad is het rekenmodel zelfstandig leesbaar. Het rekenmodel zal gedurende het Project Markt &amp; Ketenvorming continu bijgewerkt en periodiek gepubliceerd worden.</t>
  </si>
  <si>
    <t>Methode</t>
  </si>
  <si>
    <t>- Dit document legt de variabelen vast van de teelt, oogst, verwerking en verkoopprijzen van natte teelten.</t>
  </si>
  <si>
    <t xml:space="preserve">- Het aantal vastgelegde variabelen is 230. </t>
  </si>
  <si>
    <t>- Per variabele zijn maximale, gemiddelde en minimale waarden vastgelegd. Het aantal vastgelegde waarden is zodoende 690.</t>
  </si>
  <si>
    <t xml:space="preserve">- Alle waarden zijn expliciet onderbouwd door bronnen. </t>
  </si>
  <si>
    <t>- Deze bronnen zijn teeltexperts uit de veenprogramma's, vezelexperts van marktpartijen en de WUR, een landbouwtechniek- en verwerkingsexpert, KWIN, Agrimatie en marktonderzoeken.</t>
  </si>
  <si>
    <t xml:space="preserve">- De informatie van de bronnen komt uit interviews en documentatie. </t>
  </si>
  <si>
    <t>- De status van de waarden is expliciet gemaakt door aan te geven of dit een feit is, in onderzoek of een aanname.</t>
  </si>
  <si>
    <t>- Door de volledigheid in opsomming, onderbouwing en expliciet maken van de status, is het mogelijk om gericht vervolgonderzoek te bepalen, zowel aan de productzijde als aan de teeltzijde.</t>
  </si>
  <si>
    <t>- Het format biedt de mogelijkheid in tabblad Data per variabele acties, taakeigenaren en deadlines toe te kennen voor vervolgonderzoek.</t>
  </si>
  <si>
    <t>Handleiding</t>
  </si>
  <si>
    <t>Tabbladen</t>
  </si>
  <si>
    <t>- Instructie:</t>
  </si>
  <si>
    <t>Dit voorblad met inleiding en instructie</t>
  </si>
  <si>
    <t>- Grote lisdodde:</t>
  </si>
  <si>
    <t>Ingevuld scenario o.b.v. waarden voor grote lisdodde.</t>
  </si>
  <si>
    <t>- Kleine lisdodde:</t>
  </si>
  <si>
    <t>Ingevuld scenario o.b.v. waarden voor kleine lisdodde.</t>
  </si>
  <si>
    <t>- Riet:</t>
  </si>
  <si>
    <t>Ingevuld scenario o.b.v. waarden voor riet.</t>
  </si>
  <si>
    <t>- Miscanthus:</t>
  </si>
  <si>
    <t>Ingevuld scenario o.b.v. waarden voor miscanthus.</t>
  </si>
  <si>
    <t>- Hennep:</t>
  </si>
  <si>
    <t>Ingevuld scenario o.b.v. waarden voor hennep</t>
  </si>
  <si>
    <t>- Gewas vrij invulbaar:</t>
  </si>
  <si>
    <t>Ingevuld scenario o.b.v. waarden voor silphie of ander te kiezen gewas.</t>
  </si>
  <si>
    <t>- Samenvatting:</t>
  </si>
  <si>
    <t>Samenvatting van de resultaten van verschillende natte teelten.</t>
  </si>
  <si>
    <t>- Vergelijk Melkvee BBPR:</t>
  </si>
  <si>
    <t>Vergelijk natte teelten met situatie melkveebedrijf.</t>
  </si>
  <si>
    <t>- Marktomvang:</t>
  </si>
  <si>
    <t xml:space="preserve">Berekening marktomvang lisdodde. </t>
  </si>
  <si>
    <t>- DATA - Variabelen &amp; waarden:</t>
  </si>
  <si>
    <t>Invoer van de variabelen en bijbehorende waarden, status van de waarden en bronnen van de waarden.</t>
  </si>
  <si>
    <t>Invullen scenario's</t>
  </si>
  <si>
    <t>In de gewas-tabbladen kunnen scenario's aangemaakt worden door variabelen en de bijbehorende waarden te selecteren of handmatige toevoegingen te doen. Dit gaat als volgt:</t>
  </si>
  <si>
    <t>1. Vul de bestaande of verwachte situatie in van het bedrijf, het perceel, de teelt, gewasopbrengst, oogsten, opslag, verkoop, verwerkingsstappen en overige inkomsten.</t>
  </si>
  <si>
    <t>2. Kies met de selectiepijltes voor voorgedefinieerde waarden voor een variabele: Waarde Maximaal, Gemiddeld, Minimaal of Geen.</t>
  </si>
  <si>
    <t xml:space="preserve">3. Of voer handmatig een waarde in voor een variabele in het lichtrode veld. </t>
  </si>
  <si>
    <t xml:space="preserve">4. Er kunnen gevarieerde selecties gemaakt worden, dus de ene variabele max/beste geval en de andere min/slechtste geval. De selectie is daardoor niet gebonden aan alleen beste geval, </t>
  </si>
  <si>
    <t xml:space="preserve">    gemiddeld of slechtste geval. Daarmee zijn de scenario's te individualiseren voor de eigen situatie van een boer.</t>
  </si>
  <si>
    <t>5. In tabblad Data staan de waarden waar nodig toegelicht.</t>
  </si>
  <si>
    <t xml:space="preserve">6. In tabblad Data kunnen de waarden worden aangepast. </t>
  </si>
  <si>
    <t>7. Kies met de selectiepijltjes in bepaalde velden voor het type situatie, handeling of product.</t>
  </si>
  <si>
    <t>8. Bij de keuze voor het voordrogen en de benodigde verwerkingsstappen, worden de niet geselecteerde opties grijs.</t>
  </si>
  <si>
    <t>9. In de overzichten 'Verkoop product' wordt in het veld 'Droge stofgehalte input' met kleur aangegeven of het DS-gehalte lager (rood), gelijk aan (geel) of hoger (groen) is dan de producteis.</t>
  </si>
  <si>
    <t xml:space="preserve">      Het veld is eveneens gelinkt aan de output van de optie 'Voordrogen': dit overschrijft de geselecteerde DS-waarde. Selecteer de optie drogen als nog niet voldaan wordt aan de producteis.</t>
  </si>
  <si>
    <t>10. De transportafstanden dienen handmatig ingevuld te worden.</t>
  </si>
  <si>
    <t>11. Per selectie-onderdeel wordt een samenvatting getoond van de resultaten van de gemaakte selectie.</t>
  </si>
  <si>
    <t>12. De bedrijfsresultaten, vergelijking met referentie inkomsten en de berekening van de onrendabele top volgen automatisch uit de gemaakte selectie.</t>
  </si>
  <si>
    <t>13. Bij de invulvelden in de bedrijfsresultaten kunnen handmatige toevoegingen of correcties gedaan worden.</t>
  </si>
  <si>
    <t>Scope</t>
  </si>
  <si>
    <t>Producttoepassingen</t>
  </si>
  <si>
    <t xml:space="preserve">- Alleen door marktpartijen ontwikkelde, geteste of gepland te testen producttoepassingen en in het productonderzoek als potentieel beoordeelde toepassingen zijn opgenomen. </t>
  </si>
  <si>
    <t>- Dit zorgt voor realistische bruto verkoopprijzen, verwerkingseisen en marktomvang.</t>
  </si>
  <si>
    <t>Vaste uitgangspunten in scenario's Beste geval, Gemiddeld &amp; Slechtste geval</t>
  </si>
  <si>
    <t xml:space="preserve">- De rekentool biedt de mogelijkheid tot het kiezen tussen verschillende uitgangssituaties, die ieder leiden tot andere kosten of opbrengsten. </t>
  </si>
  <si>
    <t xml:space="preserve">- Binnen de gekozen uitgangssituatie kan vervolgens de beste, gemiddelde of laagste waarde geselecteerd worden. </t>
  </si>
  <si>
    <t xml:space="preserve">- De keuze voor de ene of de andere uitgangssituatie heeft dus impact op de resultaten. </t>
  </si>
  <si>
    <t xml:space="preserve">- Het is daarom voor de analyse van de resultaten van belang de meest realistische uitgangssituatie te kiezen en deze gelijk te houden tussen de drie scenario's. </t>
  </si>
  <si>
    <t>- De uitgangspunten worden beschreven in de tabbladen van de scenario's.</t>
  </si>
  <si>
    <t>- Voor individuele perceelsituaties en voortschrijdend teeltinzicht is het echter wel van belang dat de verschillende uitgangssituaties al in het model opgenomen zijn en gekozen kunnen worden.</t>
  </si>
  <si>
    <t>Grote lisdodde</t>
  </si>
  <si>
    <t>Waarde GEM</t>
  </si>
  <si>
    <t>Totale kosten</t>
  </si>
  <si>
    <t>Toegerekende kosten</t>
  </si>
  <si>
    <t>Saldo</t>
  </si>
  <si>
    <t>Niet toegerekende kosten</t>
  </si>
  <si>
    <t>Netto resultaat</t>
  </si>
  <si>
    <t>Rekentool verdienmodel - realisatie natte teelt</t>
  </si>
  <si>
    <t xml:space="preserve">Samenvatting bedrijfsbegroting </t>
  </si>
  <si>
    <t xml:space="preserve">Opbrengsten </t>
  </si>
  <si>
    <t>[€/ha]</t>
  </si>
  <si>
    <t>Verkoop gewas</t>
  </si>
  <si>
    <t>Overige opbrengsten</t>
  </si>
  <si>
    <t>GLB</t>
  </si>
  <si>
    <t>Overig</t>
  </si>
  <si>
    <t>Oogst en opslagkosten</t>
  </si>
  <si>
    <t>Arbeidskosten</t>
  </si>
  <si>
    <t>Loonwerk</t>
  </si>
  <si>
    <t>Machines en inventaris</t>
  </si>
  <si>
    <t>Onroerende zaken</t>
  </si>
  <si>
    <t>Algemene kosten</t>
  </si>
  <si>
    <t>Rente-en bankkosten</t>
  </si>
  <si>
    <t xml:space="preserve">Netto resultaat </t>
  </si>
  <si>
    <t>[€/ha</t>
  </si>
  <si>
    <t>INPUT &amp; SELECTIE VARIABELEN EN WAARDEN</t>
  </si>
  <si>
    <t>Teeltkosten</t>
  </si>
  <si>
    <t>Samenvatting alternatieve teelt</t>
  </si>
  <si>
    <t>Grondgebruik en Teeltinvesteringen alternatieve teelt</t>
  </si>
  <si>
    <t>Jaarlijkse teeltkosten - alternatieve teelt</t>
  </si>
  <si>
    <t>Grondgebruik</t>
  </si>
  <si>
    <t>Jaarlijkse kosten</t>
  </si>
  <si>
    <t>Per hectare</t>
  </si>
  <si>
    <t>Pachtregio</t>
  </si>
  <si>
    <t>Handmatig</t>
  </si>
  <si>
    <t>Standaardwaarde</t>
  </si>
  <si>
    <t xml:space="preserve">Zuidelijk veehouderijgebied </t>
  </si>
  <si>
    <t>Geen</t>
  </si>
  <si>
    <t xml:space="preserve">Teeltinvesteringen </t>
  </si>
  <si>
    <t>[u/ha]</t>
  </si>
  <si>
    <t>[€/u]</t>
  </si>
  <si>
    <t>Totaal</t>
  </si>
  <si>
    <t>[m3/ha]</t>
  </si>
  <si>
    <t>[€/m3]</t>
  </si>
  <si>
    <t>Investeringen</t>
  </si>
  <si>
    <t>Teeltinvesteringen</t>
  </si>
  <si>
    <t>[m/ha]</t>
  </si>
  <si>
    <t>Plant/zaai-investeringen</t>
  </si>
  <si>
    <t>[€/m]</t>
  </si>
  <si>
    <t>Waarde MIN</t>
  </si>
  <si>
    <t>Gewas</t>
  </si>
  <si>
    <t xml:space="preserve">Planten / Zaaien </t>
  </si>
  <si>
    <t>Waarde MAX</t>
  </si>
  <si>
    <t>Planten</t>
  </si>
  <si>
    <t>Mechanisatie en Arbeid</t>
  </si>
  <si>
    <t>[u]</t>
  </si>
  <si>
    <t>Zaaigoed</t>
  </si>
  <si>
    <t>Plantgoed</t>
  </si>
  <si>
    <t>[a]</t>
  </si>
  <si>
    <t>Jaarlijkse teeltopbrengsten &amp; oogstkosten alternatieve teelt</t>
  </si>
  <si>
    <t>Samenvatting jaarlijkse gewasopbrengst en oogstkosten</t>
  </si>
  <si>
    <t>Jaarlijkse gewasopbrengsten:</t>
  </si>
  <si>
    <t xml:space="preserve">Voordrogen </t>
  </si>
  <si>
    <t>Ja</t>
  </si>
  <si>
    <t>Gewasopbrengst</t>
  </si>
  <si>
    <t>[t DS/ha]</t>
  </si>
  <si>
    <t>DS Gehaltes</t>
  </si>
  <si>
    <t>[% DS]</t>
  </si>
  <si>
    <t xml:space="preserve">Opbrengstprijzen </t>
  </si>
  <si>
    <t>[€/ t DS]</t>
  </si>
  <si>
    <t>Materiaal voordrogen</t>
  </si>
  <si>
    <t>Gehele plant</t>
  </si>
  <si>
    <t>[€/ ha]</t>
  </si>
  <si>
    <t>Gewicht materiaal</t>
  </si>
  <si>
    <t>Materiaal input</t>
  </si>
  <si>
    <t>[t DS]</t>
  </si>
  <si>
    <t>Oogst &amp; opslagkosten</t>
  </si>
  <si>
    <t>Oogst- en opslagkosten</t>
  </si>
  <si>
    <t>Materiaal input vers</t>
  </si>
  <si>
    <t>[ton]</t>
  </si>
  <si>
    <t>Riet oogstmachine (op rupsbanden)</t>
  </si>
  <si>
    <t>Materiaal output droog</t>
  </si>
  <si>
    <t>Oogsten - uren per hectare</t>
  </si>
  <si>
    <t xml:space="preserve">Waterverdamping </t>
  </si>
  <si>
    <t>Voordroogkosten</t>
  </si>
  <si>
    <t>Oogsten - totaal</t>
  </si>
  <si>
    <t>Afvoerkosten restproduct (gras)drogerij</t>
  </si>
  <si>
    <t>[€/ton]</t>
  </si>
  <si>
    <t>Totaal oogst &amp; opslagkosten</t>
  </si>
  <si>
    <t>Veld &amp; opslaglogistiek - uren per ha</t>
  </si>
  <si>
    <t>Logistiek</t>
  </si>
  <si>
    <t>Veld &amp; opslaglogistiek - totaal</t>
  </si>
  <si>
    <t>Afstand drooglocatie</t>
  </si>
  <si>
    <t>[km]</t>
  </si>
  <si>
    <t>Transport truck klein</t>
  </si>
  <si>
    <t>[€/t/km]</t>
  </si>
  <si>
    <t>Transportkosten vers materiaal</t>
  </si>
  <si>
    <t>[€/tot]</t>
  </si>
  <si>
    <t xml:space="preserve">Drogen + geperste balen </t>
  </si>
  <si>
    <t>[€/ton DS]</t>
  </si>
  <si>
    <t>Afstand opslaglocatie</t>
  </si>
  <si>
    <t>Bulk opslag - balen binnen</t>
  </si>
  <si>
    <t>Referentie - omgerekend per baal</t>
  </si>
  <si>
    <t>Transportkosten droog materiaal</t>
  </si>
  <si>
    <t>Vierkante baal (120 x 90 x 150 cm)</t>
  </si>
  <si>
    <t>[kg DS/baal]</t>
  </si>
  <si>
    <t>Kosten persen (en wikkelen)</t>
  </si>
  <si>
    <t>[€/baal]</t>
  </si>
  <si>
    <t>Droogkosten</t>
  </si>
  <si>
    <t xml:space="preserve">Kosten opslag </t>
  </si>
  <si>
    <t xml:space="preserve">Droogcontainers - passief drogen </t>
  </si>
  <si>
    <t>[€/t verd.]</t>
  </si>
  <si>
    <t xml:space="preserve">Efficiency </t>
  </si>
  <si>
    <t>[%]</t>
  </si>
  <si>
    <t xml:space="preserve">Totaal gedroogd product </t>
  </si>
  <si>
    <t>Restproduct</t>
  </si>
  <si>
    <t xml:space="preserve">Logistiek vers product </t>
  </si>
  <si>
    <t>[€]</t>
  </si>
  <si>
    <t xml:space="preserve">Logistiek droog product </t>
  </si>
  <si>
    <t>Afvoer restproduct</t>
  </si>
  <si>
    <t xml:space="preserve">Overladen in big bags </t>
  </si>
  <si>
    <t>Totaal voordrogen</t>
  </si>
  <si>
    <t>[€/totaal]</t>
  </si>
  <si>
    <t xml:space="preserve">Per ton droog product </t>
  </si>
  <si>
    <t xml:space="preserve">Big bag opslag binnen </t>
  </si>
  <si>
    <t>Referentie - omgerekend per big bag</t>
  </si>
  <si>
    <t>Big bag standaard 1 m3</t>
  </si>
  <si>
    <t>[kg DS/bb]</t>
  </si>
  <si>
    <t>Kosten vullen, inclusief zak big bag</t>
  </si>
  <si>
    <t>[€/big bag]</t>
  </si>
  <si>
    <t>Kosten opslag</t>
  </si>
  <si>
    <t>Kleine lisdodde</t>
  </si>
  <si>
    <t>Riet</t>
  </si>
  <si>
    <t>Bosjes rietdak</t>
  </si>
  <si>
    <t xml:space="preserve">Ronde baal standaard (⌀ 125 cm) </t>
  </si>
  <si>
    <t>Miscanthus</t>
  </si>
  <si>
    <t>Veldhakselaar standaard</t>
  </si>
  <si>
    <t>Hennep</t>
  </si>
  <si>
    <t>Zaaien</t>
  </si>
  <si>
    <t>Nee</t>
  </si>
  <si>
    <t>Hennepstro</t>
  </si>
  <si>
    <t>Inkuilen - anaerobe fermentatie</t>
  </si>
  <si>
    <t xml:space="preserve">Bulk opslag - buiten sleufsilo </t>
  </si>
  <si>
    <t>Silphie</t>
  </si>
  <si>
    <t>Samenvatting bedrijfsbegroting</t>
  </si>
  <si>
    <t>BBPR:</t>
  </si>
  <si>
    <t>huidige situatie veenweide</t>
  </si>
  <si>
    <t>situatie met vernatting veenweide</t>
  </si>
  <si>
    <t>Aantal hectares totaal</t>
  </si>
  <si>
    <t>situatie met vernatting en deel alternatieve teelt</t>
  </si>
  <si>
    <t>Hectares alternatieve teelt</t>
  </si>
  <si>
    <t>Lisdodde</t>
  </si>
  <si>
    <t>Silphie/vrij invulbaar</t>
  </si>
  <si>
    <t>Uitvoer BBPR standaard</t>
  </si>
  <si>
    <t>Uitvoer BBPR alternatief</t>
  </si>
  <si>
    <t>Rente</t>
  </si>
  <si>
    <t>(%)</t>
  </si>
  <si>
    <t>(eur)</t>
  </si>
  <si>
    <t xml:space="preserve">   Wv: - Melkopbrengsten </t>
  </si>
  <si>
    <t xml:space="preserve">          - Omzet en aanwas</t>
  </si>
  <si>
    <t xml:space="preserve">          - Verkoop voedergewassen</t>
  </si>
  <si>
    <t xml:space="preserve">          - Overige opbrengsten rundveehouderij</t>
  </si>
  <si>
    <t xml:space="preserve">          - Overige opbrengsten </t>
  </si>
  <si>
    <t xml:space="preserve">          - Alternatieve teelt 1</t>
  </si>
  <si>
    <t xml:space="preserve">Toegerekende kosten </t>
  </si>
  <si>
    <t xml:space="preserve">   Wv: - Veevoer</t>
  </si>
  <si>
    <t xml:space="preserve">          - Energie </t>
  </si>
  <si>
    <t xml:space="preserve">          - Kunstmeststoffen N, P2O5, K2O </t>
  </si>
  <si>
    <t xml:space="preserve">          - Gewasbescherming, zaad en overige bemestingskosten</t>
  </si>
  <si>
    <t xml:space="preserve">          - Overige grond- en hulpstoffen</t>
  </si>
  <si>
    <t xml:space="preserve">          - Overige productgebonden kosten</t>
  </si>
  <si>
    <t xml:space="preserve">          - Teeltkosten alternatieve teelt</t>
  </si>
  <si>
    <t xml:space="preserve">Saldo </t>
  </si>
  <si>
    <t xml:space="preserve">Niet toegerekende kosten </t>
  </si>
  <si>
    <t xml:space="preserve">   Wv: - Arbeidskosten </t>
  </si>
  <si>
    <t xml:space="preserve">          - Loonwerk </t>
  </si>
  <si>
    <t xml:space="preserve">          - Afschrijving </t>
  </si>
  <si>
    <t xml:space="preserve">          - Machines/werktuigen, inventaris </t>
  </si>
  <si>
    <t xml:space="preserve">          - Onroerende zaken </t>
  </si>
  <si>
    <t xml:space="preserve">          - Algemene kosten</t>
  </si>
  <si>
    <t xml:space="preserve">          - Mestafzet</t>
  </si>
  <si>
    <t xml:space="preserve">          - Berekende rente </t>
  </si>
  <si>
    <t xml:space="preserve">          - Oogst en opslagkosten alternatieve teelt</t>
  </si>
  <si>
    <t xml:space="preserve">Netto bedrijfsresultaat </t>
  </si>
  <si>
    <t xml:space="preserve">Berekende arbeid ondernemer </t>
  </si>
  <si>
    <t xml:space="preserve">Arbeidsopbrengst ondernemer </t>
  </si>
  <si>
    <t>Arbeidsopbrengst ondernemer per ha</t>
  </si>
  <si>
    <t>Rekentool verdienmodel lisdoddeteelt - Marktomvang - Nederland</t>
  </si>
  <si>
    <t>Samenvatting</t>
  </si>
  <si>
    <t>Input</t>
  </si>
  <si>
    <t>% Potentie lisdodde in totale biobased markt</t>
  </si>
  <si>
    <t>Potentie ton DS lisdodde</t>
  </si>
  <si>
    <t>Potentie hectares lisdodde</t>
  </si>
  <si>
    <t>% Veenweiden</t>
  </si>
  <si>
    <t>Bruto marktwaarde teelt</t>
  </si>
  <si>
    <t>Gewasopbrengst per hectare - gemiddeld</t>
  </si>
  <si>
    <t>Gewasopbrengst pluis per hectare - gemiddeld</t>
  </si>
  <si>
    <t>Hectares veenweiden in Nederland</t>
  </si>
  <si>
    <t>Kleur aanname</t>
  </si>
  <si>
    <t>Blauw</t>
  </si>
  <si>
    <t>Producten</t>
  </si>
  <si>
    <t>Marktvolume - per jaar</t>
  </si>
  <si>
    <t>Marktwaarde - per jaar</t>
  </si>
  <si>
    <t xml:space="preserve">Status </t>
  </si>
  <si>
    <t>Bron 1 - naam/jaar</t>
  </si>
  <si>
    <t>Bron 1 - waarde</t>
  </si>
  <si>
    <t>Bron 1 - type/link</t>
  </si>
  <si>
    <t>Bron 2 - naam/jaar</t>
  </si>
  <si>
    <t>Bron 2 - waarde</t>
  </si>
  <si>
    <t>Bron 2 - type/link</t>
  </si>
  <si>
    <t>Bron 3 - naam/jaar</t>
  </si>
  <si>
    <t>Bron 3 - waarde</t>
  </si>
  <si>
    <t>Bron 3 - type/link</t>
  </si>
  <si>
    <t>Bron 4 - naam/jaar</t>
  </si>
  <si>
    <t>Bron 4 - waarde</t>
  </si>
  <si>
    <t>Bron 4 - type/link</t>
  </si>
  <si>
    <t>Opmerkingen</t>
  </si>
  <si>
    <t>Actie</t>
  </si>
  <si>
    <t>Owner</t>
  </si>
  <si>
    <t>Deadline</t>
  </si>
  <si>
    <t>Eenheid</t>
  </si>
  <si>
    <t>Totaal volume eenheid</t>
  </si>
  <si>
    <t>Ton per eenheid</t>
  </si>
  <si>
    <t>Totaal volume ton</t>
  </si>
  <si>
    <t>% Biobased volume</t>
  </si>
  <si>
    <t>% DS vezel per eenheid</t>
  </si>
  <si>
    <t>Potentie ton DS vezel</t>
  </si>
  <si>
    <t>% Potentie lisdodde</t>
  </si>
  <si>
    <t>% van totaal marktvolume</t>
  </si>
  <si>
    <t>Bruto verkoopprijs per ton DS - Waarde GEM</t>
  </si>
  <si>
    <t>Bruto marktwaarde teelt lisdodde</t>
  </si>
  <si>
    <t>% van totaal marktwaarde</t>
  </si>
  <si>
    <t>Grote aanname</t>
  </si>
  <si>
    <t>NIBE, 2019</t>
  </si>
  <si>
    <t>Marktomvang 900.000 ton, 10% marktaandeel biobased in 2030, 0,1% marktaandeel in 2019</t>
  </si>
  <si>
    <t>Rapport: De potentie van biobased materialen in de bouw: https://www.datocms-assets.com/32423/1612268975-20190614-de-potentie-van-biobased-materialen-in-de-bouw.pdf</t>
  </si>
  <si>
    <t>Ministerie I&amp;W/CBM/&amp;flux, 2020</t>
  </si>
  <si>
    <t>Marktomvang hout- of vezelgebaseerd plaatmateriaal 1.155.000 ton in 2019</t>
  </si>
  <si>
    <t>Rapport: Circulaire Roadmap Plaatmateriaal: https://nflux.nl/app/uploads/2021/03/RoadmapCirculairPlaatmateriaal_Flux-2.pdf</t>
  </si>
  <si>
    <t>Bouwbestel, 2016</t>
  </si>
  <si>
    <t>Soortelijk gewicht MDF is 720-800kg per m3, multiplex is 700-800kg per m3</t>
  </si>
  <si>
    <t>Artikel: https://www.bouwbestel.nl/blog/soortelijk-gewicht-mdf.html</t>
  </si>
  <si>
    <t>De Houtgroothandel, 2019</t>
  </si>
  <si>
    <t>Soortelijk gewicht spaanplaat is 630kg per m3, OSB is 600kg per m3</t>
  </si>
  <si>
    <t>Artikel: https://www.dehoutgroothandel.nl/blog/gewicht-spaanplaat</t>
  </si>
  <si>
    <t>Egger, 2021</t>
  </si>
  <si>
    <t>Houtfactor spaanplaat is 83%</t>
  </si>
  <si>
    <t>Materialenpaspoort spaanplaat Egger</t>
  </si>
  <si>
    <t>[m3]</t>
  </si>
  <si>
    <t>Betonhuis, 2020</t>
  </si>
  <si>
    <t>Marktomvang 14.000.000m3, 97,5% beton</t>
  </si>
  <si>
    <t>Artikel: https://betonhuis.nl/cement/betonmarkt-nederland</t>
  </si>
  <si>
    <t>Betonhuis, 2021</t>
  </si>
  <si>
    <t>Soortelijk gewicht beton is 2-2,6 ton per m3</t>
  </si>
  <si>
    <t>Artikel: https://betonhuis.nl/betonhuis/lichtbeton-en-zwaarbeton</t>
  </si>
  <si>
    <t>Vibers, 2020</t>
  </si>
  <si>
    <t>10% vezel bijmenging</t>
  </si>
  <si>
    <t>Artikel: https://www.bouwendnederland.nl/nu-bouwen-aan-morgen/voorbeelden-uit-de-praktijk/biobased-materialen</t>
  </si>
  <si>
    <t>Marktomvang 14.000.000m3, 2,5% droge mortel</t>
  </si>
  <si>
    <t>Bruil Beton &amp; Mix, 2021</t>
  </si>
  <si>
    <t>Soortelijk gewicht 2 ton per m3, 0,04-2% vezels</t>
  </si>
  <si>
    <t>Marktpartij - Producttest februari 2021</t>
  </si>
  <si>
    <t>CE Delft, 2019</t>
  </si>
  <si>
    <t>Marktomvang 1.876.000 ton, aandeel biobased 1%</t>
  </si>
  <si>
    <t>Rapport: Plasticgebruik en verwerking van plastic afval in Nederland: https://ce.nl/wp-content/uploads/2021/03/CE_Delft_2T13_Plasticgebruik_en_plastic_afval_verwerking_NL_DEF.pdf</t>
  </si>
  <si>
    <t>Uitvoeringsprogramma Grondstoffenakkoord, 2019</t>
  </si>
  <si>
    <t>Ambitie 15% van plastic biobased in 2030, huidig is 1%</t>
  </si>
  <si>
    <t>Uitvoeringsprogramma Circulaire Economie 2019-2023: https://www.rijksoverheid.nl/onderwerpen/circulaire-economie/documenten/rapporten/2019/02/08/uitvoeringsprogramma-2019-2023</t>
  </si>
  <si>
    <t>Rodenburg Biopolymers, 2021</t>
  </si>
  <si>
    <t>10-50% vezel bijmenging</t>
  </si>
  <si>
    <t>Kenniscentrum Papier en Karton, 2019</t>
  </si>
  <si>
    <t>Marktomvang 3.000.000 ton</t>
  </si>
  <si>
    <t>Rapport: Recycling van papier en karton in Nederland in 2019: 
https://www.kcpk.nl/wp-content/uploads/2020/05/Recycling-van-papier-en-karton-in-Nederland-in-2019-def.pdf</t>
  </si>
  <si>
    <t>ESKA, 2021</t>
  </si>
  <si>
    <t>10% vezeltoevoeging</t>
  </si>
  <si>
    <t>Marktpartij - Producttest voorjaar 2021</t>
  </si>
  <si>
    <t>Verbruggen Paddenstoelen, 2021</t>
  </si>
  <si>
    <t>Marktomvang 50.000 ton</t>
  </si>
  <si>
    <t>Vereniging Potgrond- en Substraatfabrikanten Nederland, 2021</t>
  </si>
  <si>
    <t>Marktomvang 7.500.000 kuub</t>
  </si>
  <si>
    <t>Artikel: https://www.devpn.nl/assets/files/artikel-boom-in-business-alternatieven-voor-veen-januari-2021.pdf</t>
  </si>
  <si>
    <t>Van de Crommert Projects &amp; Innovations, 2021</t>
  </si>
  <si>
    <t>150 kilo droge stof per kuub, 100% vezels per ton</t>
  </si>
  <si>
    <t>Expert - Interview</t>
  </si>
  <si>
    <t>Volume inclusief productie Nederlandse bedrijven voor wereldwijde markt, 12% van wereldwijd volume</t>
  </si>
  <si>
    <t>Gewasopbrengst gehele plant</t>
  </si>
  <si>
    <t>Gewasopbrengst 1</t>
  </si>
  <si>
    <t>Gewasopbrengst 2</t>
  </si>
  <si>
    <t>Rekentool verdienmodel natte teelt - Data - Variabelen &amp; waarden</t>
  </si>
  <si>
    <t>Grondgebruik &amp; teeltinvesteringen</t>
  </si>
  <si>
    <t>Pachtprijs - per regio</t>
  </si>
  <si>
    <t>Regionorm 2020</t>
  </si>
  <si>
    <t>Kolom1</t>
  </si>
  <si>
    <t>Kolom2</t>
  </si>
  <si>
    <t>Kolom3</t>
  </si>
  <si>
    <t>Status beschrijving</t>
  </si>
  <si>
    <t>Status</t>
  </si>
  <si>
    <t>Eigenaar</t>
  </si>
  <si>
    <t xml:space="preserve">Bouwhoek en Hogeland </t>
  </si>
  <si>
    <t>Feit</t>
  </si>
  <si>
    <t>RVO, 2020</t>
  </si>
  <si>
    <t>Regionormen en veranderpercentages voor los land 2019 en 2020: https://www.rvo.nl/sites/default/files/2020/07/Regionormen-en-veranderpercentages-voor-los-land-2019-en-2020.pdf</t>
  </si>
  <si>
    <t xml:space="preserve">Veenkoloniën en Oldambt </t>
  </si>
  <si>
    <t>Noordelijk weidegebied</t>
  </si>
  <si>
    <t xml:space="preserve">Oostelijk veehouderijgebied </t>
  </si>
  <si>
    <t xml:space="preserve">Centraal veehouderijgebied </t>
  </si>
  <si>
    <t xml:space="preserve">IJsselmeerpolders </t>
  </si>
  <si>
    <t xml:space="preserve">Westelijk Holland </t>
  </si>
  <si>
    <t xml:space="preserve">Waterland en Droogmakerijen </t>
  </si>
  <si>
    <t xml:space="preserve">Hollands/Utrechts weidegebied </t>
  </si>
  <si>
    <t xml:space="preserve">Rivierengebied </t>
  </si>
  <si>
    <t xml:space="preserve">Zuidwestelijk akkerbouwgebied </t>
  </si>
  <si>
    <t xml:space="preserve">Zuidwest Brabant </t>
  </si>
  <si>
    <t>Zuid-Limburg</t>
  </si>
  <si>
    <t>Teelt - Investeringen perceel</t>
  </si>
  <si>
    <t>Grondverzet - uren per hectare</t>
  </si>
  <si>
    <t>Mogelijk nodig: dijken, kades, plaggen, effenen, sleuf stroomkabel</t>
  </si>
  <si>
    <t>Veenweiden Innovatiecentrum, 2021</t>
  </si>
  <si>
    <t>80/40/20</t>
  </si>
  <si>
    <t>Teeltproef</t>
  </si>
  <si>
    <t>Innovatie Programma Veen, 2021</t>
  </si>
  <si>
    <t>Grondverzet - prijs per uur</t>
  </si>
  <si>
    <t>Prijs loonwerker per uur inclusief machines &amp; arbeid</t>
  </si>
  <si>
    <t>Enige aanname</t>
  </si>
  <si>
    <t>120/95/70</t>
  </si>
  <si>
    <t>Expert - Interview, o.b.v. recente inhuur</t>
  </si>
  <si>
    <t>Grondverzet - totaal</t>
  </si>
  <si>
    <t>Berekening in selectietab</t>
  </si>
  <si>
    <t>-</t>
  </si>
  <si>
    <t>Grondtoevoer - kuub per hectare</t>
  </si>
  <si>
    <t xml:space="preserve">Max: dijk/kade rondom + midden, Gem: rondom ha, Min: rondom perceel </t>
  </si>
  <si>
    <t>Gem: 1 m3/strekkende meter brede dijk 4 meter</t>
  </si>
  <si>
    <t>Min: 0,125m3/strekkende meter smalle dijk</t>
  </si>
  <si>
    <t>Grondtoevoer - prijs per kuub</t>
  </si>
  <si>
    <t>5/3/2</t>
  </si>
  <si>
    <t>Expert - Interview, o.b.v. recente kosten</t>
  </si>
  <si>
    <t>Grondtoevoer - totaal</t>
  </si>
  <si>
    <t>Watertoevoer - meter leiding per hectare</t>
  </si>
  <si>
    <t>Afstanden &amp; aantal leidingen zeer afhankelijk peilniveaus perceel</t>
  </si>
  <si>
    <t>10 meter gemiddeld per hectare</t>
  </si>
  <si>
    <t>Watertoevoer - prijs per meter leiding</t>
  </si>
  <si>
    <t xml:space="preserve">KWIN, 2020-2021 </t>
  </si>
  <si>
    <t>Beregeningsbuis €10 per meter</t>
  </si>
  <si>
    <t>Kengetal, KWIN 2020-2021</t>
  </si>
  <si>
    <t>Watertoevoer - totaal</t>
  </si>
  <si>
    <t>Waterafvoer - meter leiding per hectare</t>
  </si>
  <si>
    <t>Waterafvoer - prijs per meter leiding</t>
  </si>
  <si>
    <t>Waterafvoer - totaal</t>
  </si>
  <si>
    <t>Pompen - aanschaf incl. stroomvoorziening</t>
  </si>
  <si>
    <t>Max: vaste kabelaansluiting, Gem: windmolen, Min: zonnepaneel</t>
  </si>
  <si>
    <t>Capaciteit nodig 100m3 p/ha/dag</t>
  </si>
  <si>
    <t>Aanschaf windmolenpomp 17.000, 50m3 p/uur, is 1700 p/ha</t>
  </si>
  <si>
    <t>Zonpomp lagere capaciteit</t>
  </si>
  <si>
    <t>Waterpeilbeheersing (schuiven, slibkisten, etc.)</t>
  </si>
  <si>
    <t>Afsluiters en schuiven €250,- / stuk</t>
  </si>
  <si>
    <t>250 per stuk</t>
  </si>
  <si>
    <t>Afrastering &amp; vraatbescherming</t>
  </si>
  <si>
    <t>Waarde Max is inclusief laser tegen ganzenvraat</t>
  </si>
  <si>
    <t>2,50 / 3,00 per meter</t>
  </si>
  <si>
    <t>Aanschaf laser: 12.000</t>
  </si>
  <si>
    <t>Overige kosten (bijv. folie)</t>
  </si>
  <si>
    <t>Waarde Max is inclusief folie</t>
  </si>
  <si>
    <t>Waarde Max incl. folie à 5500</t>
  </si>
  <si>
    <t>Vergunningsaanvraag</t>
  </si>
  <si>
    <t>Onderzoeken nodig, bijv. voor waterschap, ecologische begeleiding</t>
  </si>
  <si>
    <t>Onderzoeken nodig</t>
  </si>
  <si>
    <t>Planten of zaaien</t>
  </si>
  <si>
    <t>Planten / Zaaien - Algemene kosten</t>
  </si>
  <si>
    <t>Klaarmaken grond - grondbewerking</t>
  </si>
  <si>
    <t>KWIN: trekker en werktuig, VIC: enkel eenmaal kort maaien</t>
  </si>
  <si>
    <t>750/250/65</t>
  </si>
  <si>
    <t>Enkel eenmaal kort maaien voor planten</t>
  </si>
  <si>
    <t>Klaarmaken grond - bodemverbeteraars/bemesting</t>
  </si>
  <si>
    <t>Lisdodde waarschijnlijk niet nodig, dus 'Geen' ook optie</t>
  </si>
  <si>
    <t>In onderzoek</t>
  </si>
  <si>
    <t>337/200</t>
  </si>
  <si>
    <t>Plantkosten - machine</t>
  </si>
  <si>
    <t>Machinekosten 45 euro per uur</t>
  </si>
  <si>
    <t>Plantkosten - uren per hectare</t>
  </si>
  <si>
    <t>3 personen 10-15 uur per hectare</t>
  </si>
  <si>
    <t>3 personen 10-15 uur p/hectare</t>
  </si>
  <si>
    <t>Plantkosten - prijs per uur</t>
  </si>
  <si>
    <t>Agrarisch medewerker: 25</t>
  </si>
  <si>
    <t>Plantkosten - arbeid totaal</t>
  </si>
  <si>
    <t>Zaaikosten - machine + arbeid</t>
  </si>
  <si>
    <t>€133/ha</t>
  </si>
  <si>
    <t>Jaarlijkse teeltkosten</t>
  </si>
  <si>
    <t>Gewasverzorging</t>
  </si>
  <si>
    <t>Meststoffen</t>
  </si>
  <si>
    <t>Meststoffen op water niet toegestaan, dus 'Geen' ook optie</t>
  </si>
  <si>
    <t>Gewasbeschermingsmiddelen</t>
  </si>
  <si>
    <t>Lisdodde waarschijnlijk geen beschermingsmiddelen nodig</t>
  </si>
  <si>
    <t>75/50/14</t>
  </si>
  <si>
    <t>Ongediertebestrijding - uren</t>
  </si>
  <si>
    <t>Deels in controleronde gewasverzorging, extra uren ganzen verjagen</t>
  </si>
  <si>
    <t>Ganzen verjagen, varieert per locatie</t>
  </si>
  <si>
    <t>Ongediertebestrijding - tarief</t>
  </si>
  <si>
    <t>Ongediertebestrijding</t>
  </si>
  <si>
    <t>Dijkbeheer &amp; slootonderhoud - uren</t>
  </si>
  <si>
    <t>3x p/jr dijken maaien, 1-3 uur p/keer, evt. geen sloot bij lisdodde</t>
  </si>
  <si>
    <t>8,88 uur / km sloot</t>
  </si>
  <si>
    <t>Dijkbeheer &amp; slootonderhoud - tarief</t>
  </si>
  <si>
    <t>Dijkbeheer &amp; slootonderhoud</t>
  </si>
  <si>
    <t>Gewasverzorging - uren medewerker</t>
  </si>
  <si>
    <t>O.a. watermanagement/peilbeheer, gewascontrole, evt. bemesten</t>
  </si>
  <si>
    <t>Gem. per 5 hectare 1 uur p/wk</t>
  </si>
  <si>
    <t>Medewerker - tarief per uur</t>
  </si>
  <si>
    <t>↳ Bestaande uit controleronde 2x p/wk à 10min. + eenmalig ingrijpen</t>
  </si>
  <si>
    <t xml:space="preserve">Gewasverzorging - uren management </t>
  </si>
  <si>
    <t>↳ Controle gaat per perceel, dus per hectare minder</t>
  </si>
  <si>
    <t>10% van arbeidsuren</t>
  </si>
  <si>
    <t>Manager - tarief per uur</t>
  </si>
  <si>
    <t xml:space="preserve">↳ Gem. per 5 hectare 1 uur p/wk, afhankelijk van mate automatisering </t>
  </si>
  <si>
    <t>Agrarisch manager: 60</t>
  </si>
  <si>
    <t>Gewasverzorging - eigen arbeidsuren</t>
  </si>
  <si>
    <t>↳ Geen pesticiden nodig bij lisdodde, dus niet in uren opgenomen</t>
  </si>
  <si>
    <t>Gewasverzorging - uren inhuur derden</t>
  </si>
  <si>
    <t>Gewasverzorging - tarief inhuur derden</t>
  </si>
  <si>
    <t>65/55/45</t>
  </si>
  <si>
    <t>Gewasverzorging - inhuur derden</t>
  </si>
  <si>
    <t>Energieverbruik en water</t>
  </si>
  <si>
    <t>Elektraverbruik irrigatie en peilbeheer</t>
  </si>
  <si>
    <t>50/25/10</t>
  </si>
  <si>
    <t xml:space="preserve">Elektraverbruik overig </t>
  </si>
  <si>
    <t>Heffingen waterverbruik</t>
  </si>
  <si>
    <t>75/50/10</t>
  </si>
  <si>
    <t>Belastingen en verzekeringen</t>
  </si>
  <si>
    <t>Waterschapsbelasting</t>
  </si>
  <si>
    <t>73,40/2,81</t>
  </si>
  <si>
    <t>Verzekeringen</t>
  </si>
  <si>
    <t>100/75/25</t>
  </si>
  <si>
    <t>Onderhoud</t>
  </si>
  <si>
    <t>[% invest]</t>
  </si>
  <si>
    <t>5%/3%/1%</t>
  </si>
  <si>
    <t>10%/5%/2,5%</t>
  </si>
  <si>
    <t>15%/10%/5%</t>
  </si>
  <si>
    <t>Afschrijving &amp; aflossing teeltinvesteringen</t>
  </si>
  <si>
    <t>Rentepercentage (wel/geen lening)</t>
  </si>
  <si>
    <t>8%/5%/2%</t>
  </si>
  <si>
    <t>Afschrijvingstermijn - Investeringen perceel</t>
  </si>
  <si>
    <t>30/20/10</t>
  </si>
  <si>
    <t>Teeltinvesteringen perceel - jaarlijkse afschrijving</t>
  </si>
  <si>
    <t>[€/a]</t>
  </si>
  <si>
    <t>Afschrijvingstermijn - Plant/zaaikosten</t>
  </si>
  <si>
    <t>20/10/5</t>
  </si>
  <si>
    <t>Plant/zaaikosten - jaarlijkse afschrijving</t>
  </si>
  <si>
    <t>Gemeenschappelijk landbouwbeleid (GLB)</t>
  </si>
  <si>
    <t>Waarde</t>
  </si>
  <si>
    <t>GLB Basis</t>
  </si>
  <si>
    <t>€/ ha.</t>
  </si>
  <si>
    <t>RVO, 2021</t>
  </si>
  <si>
    <t>Nederlandse invulling van het GLB gepubliceerd 2021: https://www.toekomstglb.nl/actueel/nieuws/2021/12/03/nederlandse-invulling-van-het-glb-gepubliceerd</t>
  </si>
  <si>
    <t>GLB Vergroening</t>
  </si>
  <si>
    <t>Gewaseigenschappen</t>
  </si>
  <si>
    <t>Opbrengstprijs 1</t>
  </si>
  <si>
    <t>[€/t DS]</t>
  </si>
  <si>
    <t>Opbrengstprijs 2</t>
  </si>
  <si>
    <t>DS-gehalte 1</t>
  </si>
  <si>
    <t>DS-gehalte 2</t>
  </si>
  <si>
    <t>Plantkosten</t>
  </si>
  <si>
    <t>Louis Bolk Instituut, 2021</t>
  </si>
  <si>
    <t>Project Veen, Voer &amp; Verder</t>
  </si>
  <si>
    <t>Waarde Gem: 4 kleine plugs van 15 cent of 1 grote plug van 60 cent</t>
  </si>
  <si>
    <t>0,90/0,60/0,30</t>
  </si>
  <si>
    <t>0,75/0,50/0,25</t>
  </si>
  <si>
    <t>Gewasopbrengsten</t>
  </si>
  <si>
    <t xml:space="preserve">Actueel IPV 2021: 3 ton DS per ha o.b.v. 35-40% begroeid oppervlak </t>
  </si>
  <si>
    <t>15/12/9</t>
  </si>
  <si>
    <t>Radboud Universiteit &amp; Louis Bolk Instituut</t>
  </si>
  <si>
    <t>12 tot 15</t>
  </si>
  <si>
    <t>Wetenschappelijke metingen</t>
  </si>
  <si>
    <t>Aren</t>
  </si>
  <si>
    <t>O.b.v. verrichte metingen</t>
  </si>
  <si>
    <t>Wageningen Food &amp; Biobased Research, 2021</t>
  </si>
  <si>
    <t>Productonderzoek i.o.v. IPV/VIC</t>
  </si>
  <si>
    <t>Indicatie marktpartij</t>
  </si>
  <si>
    <t>1790/1290/800</t>
  </si>
  <si>
    <t>Drogestofgehalte af land</t>
  </si>
  <si>
    <t>70%/60%/50%</t>
  </si>
  <si>
    <t>Kleine: 60%, Grote: 50%</t>
  </si>
  <si>
    <t>Helft van grote lisdodde, o.b.v. verrichte metingen</t>
  </si>
  <si>
    <t>Helft van grote lisdodde</t>
  </si>
  <si>
    <t>Artikel Vezelhennep stabiel
bij gebrek stimulansen</t>
  </si>
  <si>
    <t>Opbrengstprijzen</t>
  </si>
  <si>
    <t>De economie van het veenrietweidebedrijf</t>
  </si>
  <si>
    <t>Rietvezel</t>
  </si>
  <si>
    <t>Natte teelten voor het veenweidegebied</t>
  </si>
  <si>
    <t>2,90/1,50 per bos</t>
  </si>
  <si>
    <t>Silphie.de</t>
  </si>
  <si>
    <t>Aanname aan de hand van Lisdodde</t>
  </si>
  <si>
    <t>Opbrengst 2</t>
  </si>
  <si>
    <t>Op basis van maisopbrengsten</t>
  </si>
  <si>
    <t>Op basis van mais</t>
  </si>
  <si>
    <t>Gewas 7</t>
  </si>
  <si>
    <t>Opbrengst 1</t>
  </si>
  <si>
    <t>Oogstkosten</t>
  </si>
  <si>
    <t>Oogst - tarief - Gehele plant/blad &amp; stengelmateriaal</t>
  </si>
  <si>
    <t>Machine &amp; arbeid per uur</t>
  </si>
  <si>
    <t>317 gemiddeld</t>
  </si>
  <si>
    <t xml:space="preserve">Veldhakselaar wetland </t>
  </si>
  <si>
    <t>Machine &amp; arbeid per uur, 25% hoger dan veldhakselaar standaard</t>
  </si>
  <si>
    <t>25% hoger dan stand. hakselaar</t>
  </si>
  <si>
    <t xml:space="preserve">Klepelbak wetland </t>
  </si>
  <si>
    <t>150 p/u voor oogst in feb '21</t>
  </si>
  <si>
    <t xml:space="preserve">Maai-zuigcombinatie wetland </t>
  </si>
  <si>
    <t>125/110/100</t>
  </si>
  <si>
    <t>Maai-korfcombinatie</t>
  </si>
  <si>
    <t>95/85/75</t>
  </si>
  <si>
    <t>Alternatief 1</t>
  </si>
  <si>
    <t>Alternatief 2</t>
  </si>
  <si>
    <t>Oogst - uren per ha - Gehele plant/blad &amp; stengelmateriaal</t>
  </si>
  <si>
    <t>1,2 ha/uur mais</t>
  </si>
  <si>
    <t>Gelijk aan veldhakselaar standaard</t>
  </si>
  <si>
    <t>Gelijk aan veldhakselaar stand.</t>
  </si>
  <si>
    <t>4 uur voor oogst in feb '21</t>
  </si>
  <si>
    <t>Gelijk aan klepelbak wetland</t>
  </si>
  <si>
    <t>Iets hoger als klepelbak wetland</t>
  </si>
  <si>
    <t>Veld &amp; opslaglogistiek - tarief - Gehele plant/blad &amp; stengelmateriaal</t>
  </si>
  <si>
    <t xml:space="preserve">Transportvoertuig op veld </t>
  </si>
  <si>
    <t>45/35/25</t>
  </si>
  <si>
    <t xml:space="preserve">Overladen </t>
  </si>
  <si>
    <t>25/10/5</t>
  </si>
  <si>
    <t xml:space="preserve">Transport veld-opslag </t>
  </si>
  <si>
    <t>Oogst - tarief - Zaden</t>
  </si>
  <si>
    <t xml:space="preserve">Arenstripper wetland </t>
  </si>
  <si>
    <t>185/175/165</t>
  </si>
  <si>
    <t>Zeven met stationaire zeef</t>
  </si>
  <si>
    <t>Oogst - uren per ha - Zaden</t>
  </si>
  <si>
    <t>Veld &amp; opslaglogistiek - tarief - Zaden</t>
  </si>
  <si>
    <t>Opslagkosten</t>
  </si>
  <si>
    <t>Bewaarmethode - Plant/blad &amp; stengelmateriaal</t>
  </si>
  <si>
    <t>35 euro p/t/DS maïs</t>
  </si>
  <si>
    <t xml:space="preserve">Persen en inwikkelen - anaerobe fermentatie </t>
  </si>
  <si>
    <t>Vierkant balen &amp; wikkelen</t>
  </si>
  <si>
    <t>83 p/t/DS</t>
  </si>
  <si>
    <t xml:space="preserve">Persen - verdichten vers </t>
  </si>
  <si>
    <t>25/20/15</t>
  </si>
  <si>
    <t>Expert, interview</t>
  </si>
  <si>
    <t>Gemiddeld 4 big bags/uur à €85 p/u | €10/big bag |100 kg/big bag</t>
  </si>
  <si>
    <t>4bb/u-85p/u-€10/bb-100kg/bb</t>
  </si>
  <si>
    <t>Balen persen zit in prijs bij drogen bij grasdrogerij</t>
  </si>
  <si>
    <t>In prijs drogen grasdrogerij</t>
  </si>
  <si>
    <t>Opslag - Plant/blad &amp; stengelmateriaal</t>
  </si>
  <si>
    <t xml:space="preserve">Bulk opslag - buiten onverhard </t>
  </si>
  <si>
    <t>3/1/1</t>
  </si>
  <si>
    <t>Bulk opslag - buiten verhard</t>
  </si>
  <si>
    <t>14/8/5</t>
  </si>
  <si>
    <t>Factor 1,5 t.o.v. kuilplaat/buiten verhard</t>
  </si>
  <si>
    <t>Factor 1,5 t.o.v. kuilplaat</t>
  </si>
  <si>
    <t>Bulk opslag - balen buiten zonder afdekking</t>
  </si>
  <si>
    <t>2/1,50/1</t>
  </si>
  <si>
    <t>Bulk opslag - balen buiten met afdekking</t>
  </si>
  <si>
    <t>2,5/2/1,5</t>
  </si>
  <si>
    <t xml:space="preserve">DS inhoud balen </t>
  </si>
  <si>
    <t xml:space="preserve">1,47 m3 </t>
  </si>
  <si>
    <t>Landwirt Pressenvergleich, 2021</t>
  </si>
  <si>
    <t>126 kg DS / m3 gemiddeld</t>
  </si>
  <si>
    <t>Kengetal Gerstenstroh, Landwirt Pressenvergleich</t>
  </si>
  <si>
    <t xml:space="preserve">Ronde baal groot (⌀ 150 cm) </t>
  </si>
  <si>
    <t>2,12 m3</t>
  </si>
  <si>
    <t>Vierkante baal (120 x 70 x 150 cm)</t>
  </si>
  <si>
    <t>1,26 m3</t>
  </si>
  <si>
    <t xml:space="preserve">185 kg DS / m3 gemiddeld </t>
  </si>
  <si>
    <t>1,62 m3</t>
  </si>
  <si>
    <t>Bewaarmethode - Zaden</t>
  </si>
  <si>
    <t>Vacuüm/compacteren</t>
  </si>
  <si>
    <t>25% hoger in prijs dan verdichten i.v.m. extra stap vacuüm trekken</t>
  </si>
  <si>
    <t>25% duurder dan verdichten</t>
  </si>
  <si>
    <t>Gemiddeld 4 big bags/uur à €85 p/u machine + arbeid | €10/big bag |100 kg/big bag</t>
  </si>
  <si>
    <t>DS inhoud big bag</t>
  </si>
  <si>
    <t>[kg DS/big bag]</t>
  </si>
  <si>
    <t>65 kg gemiddeld</t>
  </si>
  <si>
    <t>Big bag standaard 1,5 m3</t>
  </si>
  <si>
    <t>100 kg gemiddeld</t>
  </si>
  <si>
    <t>Big bag standaard 2 m3</t>
  </si>
  <si>
    <t>130 kg gemiddeld</t>
  </si>
  <si>
    <t>Opslag - Zaden</t>
  </si>
  <si>
    <t>Voordrogen</t>
  </si>
  <si>
    <t xml:space="preserve">Drogestofgehalte output </t>
  </si>
  <si>
    <t>Verwerkingskosten</t>
  </si>
  <si>
    <t>Transportkosten</t>
  </si>
  <si>
    <t>0,15/0,12/0,10</t>
  </si>
  <si>
    <t>Transport truck groot</t>
  </si>
  <si>
    <t>0,05/0,04/0,03</t>
  </si>
  <si>
    <t>Keuze droogstap</t>
  </si>
  <si>
    <t>Drogen - Kosten</t>
  </si>
  <si>
    <t>[€/t waterverdamping]</t>
  </si>
  <si>
    <t>600/550/500</t>
  </si>
  <si>
    <t xml:space="preserve">Droogsysteem - actief drogen </t>
  </si>
  <si>
    <t>500/450/400</t>
  </si>
  <si>
    <t xml:space="preserve">Grasdrogerij </t>
  </si>
  <si>
    <t xml:space="preserve">Kosten te verlagen door drogen aansluitend aan grasseizoen </t>
  </si>
  <si>
    <t>500/400/300</t>
  </si>
  <si>
    <t>Bouwgroep Dijkstra Draisma, 2021</t>
  </si>
  <si>
    <t>Marktpartij - Productontwikkeling</t>
  </si>
  <si>
    <t>Bollendrogerij (lage temperatuur)</t>
  </si>
  <si>
    <t>Lagere energiekosten dan grasdrogerij, maar wel arbeidsintensiever</t>
  </si>
  <si>
    <t>Minder energie, meer arbeid</t>
  </si>
  <si>
    <t>Drogen - Producteffciency</t>
  </si>
  <si>
    <t>100%/95%/90%</t>
  </si>
  <si>
    <t>100%/90%/85%</t>
  </si>
  <si>
    <t>90%/88%/86%</t>
  </si>
  <si>
    <t>Droogproef</t>
  </si>
  <si>
    <t>Kosten verwerking reststroom</t>
  </si>
  <si>
    <t>[€/t]</t>
  </si>
  <si>
    <t>10/5/2,50</t>
  </si>
  <si>
    <t>Verwerking</t>
  </si>
  <si>
    <t>20/10/7,50</t>
  </si>
  <si>
    <t>variant A</t>
  </si>
  <si>
    <t>variant B</t>
  </si>
  <si>
    <t>variant C</t>
  </si>
  <si>
    <t>*Afgeschermd*</t>
  </si>
  <si>
    <t xml:space="preserve">De natte teelt gewassen-tabbladen kunnen gekopieerd worden om extra scenario's te maken. Alleen tabblad "Gewas vrij invulbaar" zal worden meegenomen in "Samenvatting" en "Dashboard".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</si>
</sst>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€&quot;\ * #,##0_);_(&quot;€&quot;\ * \(#,##0\);_(&quot;€&quot;\ * &quot;-&quot;??_);_(@_)"/>
  </numFmts>
  <fonts count="4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9"/>
      <color theme="1"/>
      <name val="Calibri (Hoofdtekst)"/>
    </font>
    <font>
      <b/>
      <i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i/>
      <sz val="12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 (Hoofdtekst)"/>
    </font>
    <font>
      <sz val="12"/>
      <color rgb="FFFA7D00"/>
      <name val="Calibri"/>
      <family val="2"/>
      <scheme val="minor"/>
    </font>
    <font>
      <sz val="8.5"/>
      <color rgb="FFFFFFFF"/>
      <name val="Verdana"/>
      <family val="2"/>
    </font>
    <font>
      <sz val="8.5"/>
      <color rgb="FF000000"/>
      <name val="Verdana"/>
      <family val="2"/>
    </font>
    <font>
      <b/>
      <sz val="8.5"/>
      <color rgb="FF000000"/>
      <name val="Verdana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4472C4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A25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theme="1"/>
      </top>
      <bottom style="double">
        <color theme="1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/>
      <bottom style="medium">
        <color rgb="FFB2B2B2"/>
      </bottom>
      <diagonal/>
    </border>
    <border>
      <left/>
      <right/>
      <top style="medium">
        <color rgb="FFB2B2B2"/>
      </top>
      <bottom style="medium">
        <color rgb="FFB2B2B2"/>
      </bottom>
      <diagonal/>
    </border>
    <border>
      <left/>
      <right/>
      <top/>
      <bottom style="medium">
        <color rgb="FF95A2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9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9" tint="0.39997558519241921"/>
      </right>
      <top style="thin">
        <color theme="8" tint="0.39997558519241921"/>
      </top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1" fillId="0" borderId="34" applyNumberFormat="0" applyFill="0" applyAlignment="0" applyProtection="0"/>
    <xf numFmtId="44" fontId="1" fillId="0" borderId="0" applyFont="0" applyFill="0" applyBorder="0" applyAlignment="0" applyProtection="0"/>
  </cellStyleXfs>
  <cellXfs count="3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1" applyNumberFormat="1" applyFont="1"/>
    <xf numFmtId="9" fontId="0" fillId="0" borderId="0" xfId="2" applyFont="1"/>
    <xf numFmtId="164" fontId="0" fillId="0" borderId="0" xfId="1" applyFont="1"/>
    <xf numFmtId="165" fontId="4" fillId="0" borderId="0" xfId="1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165" fontId="6" fillId="0" borderId="0" xfId="0" applyNumberFormat="1" applyFont="1"/>
    <xf numFmtId="165" fontId="6" fillId="0" borderId="0" xfId="1" applyNumberFormat="1" applyFont="1" applyFill="1" applyBorder="1"/>
    <xf numFmtId="0" fontId="3" fillId="3" borderId="5" xfId="0" applyFont="1" applyFill="1" applyBorder="1"/>
    <xf numFmtId="0" fontId="6" fillId="0" borderId="0" xfId="0" applyFont="1"/>
    <xf numFmtId="0" fontId="3" fillId="3" borderId="0" xfId="0" applyFont="1" applyFill="1"/>
    <xf numFmtId="164" fontId="6" fillId="0" borderId="0" xfId="1" applyFont="1" applyFill="1" applyBorder="1" applyAlignment="1">
      <alignment horizontal="left"/>
    </xf>
    <xf numFmtId="0" fontId="3" fillId="0" borderId="5" xfId="0" applyFont="1" applyBorder="1"/>
    <xf numFmtId="0" fontId="3" fillId="0" borderId="3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7" fillId="0" borderId="0" xfId="0" applyFont="1"/>
    <xf numFmtId="9" fontId="6" fillId="0" borderId="0" xfId="2" applyFont="1" applyFill="1" applyBorder="1"/>
    <xf numFmtId="164" fontId="6" fillId="0" borderId="0" xfId="1" applyFont="1" applyFill="1" applyBorder="1"/>
    <xf numFmtId="164" fontId="0" fillId="0" borderId="0" xfId="1" applyFont="1" applyFill="1"/>
    <xf numFmtId="165" fontId="6" fillId="0" borderId="0" xfId="1" applyNumberFormat="1" applyFont="1"/>
    <xf numFmtId="164" fontId="0" fillId="0" borderId="0" xfId="1" applyFont="1" applyFill="1" applyBorder="1"/>
    <xf numFmtId="0" fontId="7" fillId="0" borderId="5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165" fontId="0" fillId="0" borderId="0" xfId="1" applyNumberFormat="1" applyFont="1" applyFill="1" applyBorder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9" fontId="6" fillId="0" borderId="0" xfId="2" applyFont="1" applyFill="1"/>
    <xf numFmtId="9" fontId="0" fillId="0" borderId="0" xfId="2" applyFont="1" applyFill="1" applyBorder="1"/>
    <xf numFmtId="0" fontId="9" fillId="0" borderId="0" xfId="0" applyFont="1"/>
    <xf numFmtId="165" fontId="0" fillId="4" borderId="7" xfId="0" applyNumberFormat="1" applyFill="1" applyBorder="1"/>
    <xf numFmtId="165" fontId="4" fillId="4" borderId="0" xfId="1" applyNumberFormat="1" applyFont="1" applyFill="1" applyBorder="1"/>
    <xf numFmtId="165" fontId="0" fillId="4" borderId="0" xfId="0" applyNumberFormat="1" applyFill="1"/>
    <xf numFmtId="165" fontId="0" fillId="4" borderId="0" xfId="1" applyNumberFormat="1" applyFont="1" applyFill="1" applyBorder="1"/>
    <xf numFmtId="0" fontId="4" fillId="4" borderId="0" xfId="0" applyFont="1" applyFill="1"/>
    <xf numFmtId="0" fontId="2" fillId="2" borderId="1" xfId="3"/>
    <xf numFmtId="165" fontId="4" fillId="4" borderId="0" xfId="0" applyNumberFormat="1" applyFont="1" applyFill="1"/>
    <xf numFmtId="9" fontId="0" fillId="4" borderId="0" xfId="2" applyFont="1" applyFill="1" applyBorder="1"/>
    <xf numFmtId="164" fontId="0" fillId="4" borderId="0" xfId="1" applyFont="1" applyFill="1" applyBorder="1"/>
    <xf numFmtId="0" fontId="0" fillId="5" borderId="8" xfId="0" applyFill="1" applyBorder="1"/>
    <xf numFmtId="9" fontId="2" fillId="2" borderId="1" xfId="2" applyFont="1" applyFill="1" applyBorder="1"/>
    <xf numFmtId="2" fontId="6" fillId="0" borderId="0" xfId="0" applyNumberFormat="1" applyFont="1" applyAlignment="1">
      <alignment horizontal="center"/>
    </xf>
    <xf numFmtId="9" fontId="2" fillId="2" borderId="1" xfId="3" applyNumberFormat="1"/>
    <xf numFmtId="164" fontId="2" fillId="2" borderId="1" xfId="3" applyNumberFormat="1"/>
    <xf numFmtId="0" fontId="4" fillId="4" borderId="11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7" xfId="0" applyFill="1" applyBorder="1"/>
    <xf numFmtId="166" fontId="6" fillId="0" borderId="0" xfId="2" applyNumberFormat="1" applyFont="1" applyFill="1" applyBorder="1"/>
    <xf numFmtId="0" fontId="0" fillId="4" borderId="12" xfId="0" applyFill="1" applyBorder="1"/>
    <xf numFmtId="0" fontId="8" fillId="4" borderId="10" xfId="0" applyFont="1" applyFill="1" applyBorder="1"/>
    <xf numFmtId="0" fontId="0" fillId="5" borderId="18" xfId="0" applyFill="1" applyBorder="1"/>
    <xf numFmtId="0" fontId="13" fillId="4" borderId="0" xfId="0" applyFont="1" applyFill="1"/>
    <xf numFmtId="0" fontId="14" fillId="4" borderId="0" xfId="0" applyFont="1" applyFill="1"/>
    <xf numFmtId="165" fontId="2" fillId="2" borderId="1" xfId="1" applyNumberFormat="1" applyFont="1" applyFill="1" applyBorder="1"/>
    <xf numFmtId="0" fontId="15" fillId="7" borderId="0" xfId="0" applyFont="1" applyFill="1"/>
    <xf numFmtId="0" fontId="16" fillId="7" borderId="0" xfId="0" applyFont="1" applyFill="1" applyAlignment="1">
      <alignment horizontal="center"/>
    </xf>
    <xf numFmtId="0" fontId="4" fillId="8" borderId="0" xfId="0" applyFont="1" applyFill="1"/>
    <xf numFmtId="0" fontId="16" fillId="7" borderId="0" xfId="0" applyFont="1" applyFill="1"/>
    <xf numFmtId="9" fontId="16" fillId="7" borderId="0" xfId="2" applyFont="1" applyFill="1" applyAlignment="1">
      <alignment horizontal="center"/>
    </xf>
    <xf numFmtId="9" fontId="16" fillId="7" borderId="0" xfId="2" applyFont="1" applyFill="1"/>
    <xf numFmtId="9" fontId="0" fillId="0" borderId="0" xfId="2" applyFont="1" applyAlignment="1">
      <alignment horizontal="center"/>
    </xf>
    <xf numFmtId="0" fontId="9" fillId="4" borderId="0" xfId="0" applyFont="1" applyFill="1"/>
    <xf numFmtId="0" fontId="17" fillId="8" borderId="0" xfId="0" applyFont="1" applyFill="1"/>
    <xf numFmtId="0" fontId="18" fillId="0" borderId="0" xfId="0" applyFont="1"/>
    <xf numFmtId="0" fontId="4" fillId="4" borderId="13" xfId="0" applyFont="1" applyFill="1" applyBorder="1"/>
    <xf numFmtId="0" fontId="0" fillId="4" borderId="19" xfId="0" applyFill="1" applyBorder="1"/>
    <xf numFmtId="0" fontId="4" fillId="4" borderId="22" xfId="0" applyFont="1" applyFill="1" applyBorder="1"/>
    <xf numFmtId="1" fontId="4" fillId="4" borderId="0" xfId="0" applyNumberFormat="1" applyFont="1" applyFill="1"/>
    <xf numFmtId="165" fontId="0" fillId="4" borderId="11" xfId="1" applyNumberFormat="1" applyFont="1" applyFill="1" applyBorder="1"/>
    <xf numFmtId="0" fontId="8" fillId="4" borderId="13" xfId="0" applyFont="1" applyFill="1" applyBorder="1"/>
    <xf numFmtId="0" fontId="4" fillId="9" borderId="0" xfId="0" applyFont="1" applyFill="1"/>
    <xf numFmtId="0" fontId="3" fillId="9" borderId="0" xfId="0" applyFont="1" applyFill="1"/>
    <xf numFmtId="0" fontId="7" fillId="9" borderId="0" xfId="0" applyFont="1" applyFill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165" fontId="9" fillId="0" borderId="0" xfId="1" applyNumberFormat="1" applyFont="1"/>
    <xf numFmtId="165" fontId="19" fillId="0" borderId="0" xfId="0" applyNumberFormat="1" applyFont="1"/>
    <xf numFmtId="165" fontId="19" fillId="0" borderId="0" xfId="1" applyNumberFormat="1" applyFont="1"/>
    <xf numFmtId="0" fontId="20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9" fillId="0" borderId="0" xfId="1" applyFont="1" applyFill="1" applyBorder="1" applyAlignment="1">
      <alignment horizontal="left"/>
    </xf>
    <xf numFmtId="165" fontId="19" fillId="0" borderId="0" xfId="1" applyNumberFormat="1" applyFont="1" applyFill="1" applyBorder="1"/>
    <xf numFmtId="0" fontId="19" fillId="0" borderId="0" xfId="0" applyFont="1" applyAlignment="1">
      <alignment horizontal="left" indent="1"/>
    </xf>
    <xf numFmtId="49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4" borderId="0" xfId="0" applyFill="1"/>
    <xf numFmtId="0" fontId="0" fillId="4" borderId="16" xfId="0" applyFill="1" applyBorder="1"/>
    <xf numFmtId="0" fontId="0" fillId="4" borderId="11" xfId="0" applyFill="1" applyBorder="1"/>
    <xf numFmtId="165" fontId="0" fillId="0" borderId="0" xfId="1" applyNumberFormat="1" applyFont="1" applyFill="1"/>
    <xf numFmtId="165" fontId="1" fillId="4" borderId="0" xfId="1" applyNumberFormat="1" applyFont="1" applyFill="1" applyBorder="1"/>
    <xf numFmtId="165" fontId="9" fillId="4" borderId="0" xfId="1" applyNumberFormat="1" applyFont="1" applyFill="1" applyBorder="1"/>
    <xf numFmtId="0" fontId="9" fillId="4" borderId="9" xfId="0" applyFont="1" applyFill="1" applyBorder="1"/>
    <xf numFmtId="0" fontId="9" fillId="4" borderId="11" xfId="0" applyFont="1" applyFill="1" applyBorder="1"/>
    <xf numFmtId="0" fontId="4" fillId="4" borderId="14" xfId="0" applyFont="1" applyFill="1" applyBorder="1"/>
    <xf numFmtId="0" fontId="9" fillId="4" borderId="14" xfId="0" applyFont="1" applyFill="1" applyBorder="1"/>
    <xf numFmtId="165" fontId="6" fillId="0" borderId="0" xfId="1" applyNumberFormat="1" applyFont="1" applyFill="1" applyBorder="1" applyAlignment="1">
      <alignment horizontal="left"/>
    </xf>
    <xf numFmtId="0" fontId="9" fillId="4" borderId="13" xfId="0" applyFont="1" applyFill="1" applyBorder="1" applyAlignment="1">
      <alignment horizontal="left" indent="1"/>
    </xf>
    <xf numFmtId="165" fontId="9" fillId="4" borderId="0" xfId="1" applyNumberFormat="1" applyFont="1" applyFill="1" applyBorder="1" applyAlignment="1">
      <alignment horizontal="left" indent="1"/>
    </xf>
    <xf numFmtId="0" fontId="9" fillId="4" borderId="14" xfId="0" applyFont="1" applyFill="1" applyBorder="1" applyAlignment="1">
      <alignment horizontal="left"/>
    </xf>
    <xf numFmtId="164" fontId="1" fillId="4" borderId="0" xfId="1" applyFont="1" applyFill="1" applyBorder="1"/>
    <xf numFmtId="165" fontId="0" fillId="4" borderId="16" xfId="1" applyNumberFormat="1" applyFont="1" applyFill="1" applyBorder="1"/>
    <xf numFmtId="1" fontId="0" fillId="4" borderId="0" xfId="0" applyNumberFormat="1" applyFill="1"/>
    <xf numFmtId="165" fontId="9" fillId="4" borderId="0" xfId="0" applyNumberFormat="1" applyFont="1" applyFill="1"/>
    <xf numFmtId="0" fontId="8" fillId="4" borderId="10" xfId="0" quotePrefix="1" applyFont="1" applyFill="1" applyBorder="1"/>
    <xf numFmtId="0" fontId="0" fillId="4" borderId="13" xfId="0" quotePrefix="1" applyFill="1" applyBorder="1"/>
    <xf numFmtId="0" fontId="4" fillId="4" borderId="13" xfId="0" quotePrefix="1" applyFont="1" applyFill="1" applyBorder="1"/>
    <xf numFmtId="0" fontId="12" fillId="4" borderId="13" xfId="0" applyFont="1" applyFill="1" applyBorder="1" applyAlignment="1">
      <alignment horizontal="left" indent="1"/>
    </xf>
    <xf numFmtId="0" fontId="0" fillId="4" borderId="13" xfId="0" applyFill="1" applyBorder="1" applyAlignment="1">
      <alignment horizontal="left"/>
    </xf>
    <xf numFmtId="0" fontId="2" fillId="2" borderId="1" xfId="1" applyNumberFormat="1" applyFont="1" applyFill="1" applyBorder="1"/>
    <xf numFmtId="9" fontId="9" fillId="4" borderId="0" xfId="2" applyFont="1" applyFill="1" applyBorder="1"/>
    <xf numFmtId="167" fontId="0" fillId="4" borderId="0" xfId="1" applyNumberFormat="1" applyFont="1" applyFill="1" applyBorder="1"/>
    <xf numFmtId="167" fontId="1" fillId="4" borderId="0" xfId="1" applyNumberFormat="1" applyFont="1" applyFill="1" applyBorder="1"/>
    <xf numFmtId="167" fontId="0" fillId="4" borderId="0" xfId="0" applyNumberFormat="1" applyFill="1"/>
    <xf numFmtId="0" fontId="0" fillId="4" borderId="1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horizontal="left" vertical="center"/>
    </xf>
    <xf numFmtId="0" fontId="24" fillId="2" borderId="1" xfId="3" applyFont="1"/>
    <xf numFmtId="165" fontId="23" fillId="4" borderId="0" xfId="1" applyNumberFormat="1" applyFont="1" applyFill="1" applyBorder="1"/>
    <xf numFmtId="164" fontId="12" fillId="4" borderId="0" xfId="0" applyNumberFormat="1" applyFont="1" applyFill="1"/>
    <xf numFmtId="0" fontId="9" fillId="5" borderId="25" xfId="0" applyFont="1" applyFill="1" applyBorder="1" applyAlignment="1">
      <alignment horizontal="left" indent="1"/>
    </xf>
    <xf numFmtId="0" fontId="0" fillId="4" borderId="13" xfId="0" quotePrefix="1" applyFill="1" applyBorder="1" applyAlignment="1">
      <alignment horizontal="left"/>
    </xf>
    <xf numFmtId="165" fontId="12" fillId="4" borderId="0" xfId="0" applyNumberFormat="1" applyFont="1" applyFill="1"/>
    <xf numFmtId="9" fontId="12" fillId="4" borderId="0" xfId="0" applyNumberFormat="1" applyFont="1" applyFill="1"/>
    <xf numFmtId="1" fontId="2" fillId="2" borderId="1" xfId="3" applyNumberFormat="1"/>
    <xf numFmtId="0" fontId="4" fillId="4" borderId="13" xfId="0" applyFont="1" applyFill="1" applyBorder="1" applyAlignment="1">
      <alignment horizontal="left"/>
    </xf>
    <xf numFmtId="165" fontId="0" fillId="4" borderId="0" xfId="0" applyNumberFormat="1" applyFill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165" fontId="4" fillId="4" borderId="23" xfId="0" applyNumberFormat="1" applyFont="1" applyFill="1" applyBorder="1"/>
    <xf numFmtId="0" fontId="4" fillId="4" borderId="24" xfId="0" applyFont="1" applyFill="1" applyBorder="1"/>
    <xf numFmtId="0" fontId="11" fillId="4" borderId="13" xfId="0" applyFont="1" applyFill="1" applyBorder="1"/>
    <xf numFmtId="0" fontId="0" fillId="0" borderId="0" xfId="0" applyAlignment="1">
      <alignment horizontal="left"/>
    </xf>
    <xf numFmtId="165" fontId="19" fillId="0" borderId="0" xfId="1" applyNumberFormat="1" applyFont="1" applyFill="1"/>
    <xf numFmtId="0" fontId="4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5" fillId="6" borderId="0" xfId="0" applyFont="1" applyFill="1"/>
    <xf numFmtId="165" fontId="0" fillId="0" borderId="0" xfId="0" applyNumberFormat="1"/>
    <xf numFmtId="165" fontId="6" fillId="0" borderId="0" xfId="1" applyNumberFormat="1" applyFont="1" applyFill="1"/>
    <xf numFmtId="164" fontId="6" fillId="0" borderId="0" xfId="1" applyFont="1" applyFill="1"/>
    <xf numFmtId="9" fontId="0" fillId="0" borderId="0" xfId="2" applyFont="1" applyFill="1"/>
    <xf numFmtId="0" fontId="6" fillId="0" borderId="26" xfId="0" applyFont="1" applyBorder="1"/>
    <xf numFmtId="0" fontId="0" fillId="10" borderId="30" xfId="0" applyFill="1" applyBorder="1"/>
    <xf numFmtId="0" fontId="0" fillId="10" borderId="0" xfId="0" applyFill="1"/>
    <xf numFmtId="0" fontId="0" fillId="10" borderId="31" xfId="0" applyFill="1" applyBorder="1"/>
    <xf numFmtId="0" fontId="4" fillId="10" borderId="13" xfId="0" applyFont="1" applyFill="1" applyBorder="1"/>
    <xf numFmtId="0" fontId="9" fillId="0" borderId="0" xfId="0" applyFont="1" applyAlignment="1">
      <alignment horizontal="left"/>
    </xf>
    <xf numFmtId="0" fontId="8" fillId="4" borderId="27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167" fontId="9" fillId="4" borderId="0" xfId="1" applyNumberFormat="1" applyFont="1" applyFill="1" applyBorder="1" applyAlignment="1">
      <alignment horizontal="left" indent="1"/>
    </xf>
    <xf numFmtId="167" fontId="19" fillId="0" borderId="0" xfId="1" applyNumberFormat="1" applyFont="1" applyFill="1" applyBorder="1"/>
    <xf numFmtId="49" fontId="1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5" fontId="0" fillId="10" borderId="0" xfId="1" applyNumberFormat="1" applyFont="1" applyFill="1" applyBorder="1"/>
    <xf numFmtId="165" fontId="4" fillId="10" borderId="0" xfId="1" applyNumberFormat="1" applyFont="1" applyFill="1" applyBorder="1"/>
    <xf numFmtId="165" fontId="0" fillId="4" borderId="28" xfId="1" applyNumberFormat="1" applyFont="1" applyFill="1" applyBorder="1"/>
    <xf numFmtId="0" fontId="0" fillId="4" borderId="31" xfId="0" applyFill="1" applyBorder="1"/>
    <xf numFmtId="0" fontId="4" fillId="4" borderId="31" xfId="0" applyFont="1" applyFill="1" applyBorder="1"/>
    <xf numFmtId="0" fontId="0" fillId="5" borderId="32" xfId="0" applyFill="1" applyBorder="1"/>
    <xf numFmtId="0" fontId="9" fillId="10" borderId="30" xfId="0" applyFont="1" applyFill="1" applyBorder="1" applyAlignment="1">
      <alignment horizontal="left" indent="1"/>
    </xf>
    <xf numFmtId="0" fontId="11" fillId="4" borderId="30" xfId="0" applyFont="1" applyFill="1" applyBorder="1"/>
    <xf numFmtId="0" fontId="9" fillId="4" borderId="31" xfId="0" applyFont="1" applyFill="1" applyBorder="1"/>
    <xf numFmtId="0" fontId="0" fillId="4" borderId="30" xfId="0" applyFill="1" applyBorder="1" applyAlignment="1">
      <alignment horizontal="left"/>
    </xf>
    <xf numFmtId="165" fontId="0" fillId="10" borderId="0" xfId="0" applyNumberFormat="1" applyFill="1"/>
    <xf numFmtId="0" fontId="11" fillId="4" borderId="30" xfId="0" applyFont="1" applyFill="1" applyBorder="1" applyAlignment="1">
      <alignment vertical="center"/>
    </xf>
    <xf numFmtId="0" fontId="9" fillId="5" borderId="32" xfId="0" applyFont="1" applyFill="1" applyBorder="1" applyAlignment="1">
      <alignment horizontal="left" indent="1"/>
    </xf>
    <xf numFmtId="0" fontId="0" fillId="10" borderId="30" xfId="0" applyFill="1" applyBorder="1" applyAlignment="1">
      <alignment horizontal="left"/>
    </xf>
    <xf numFmtId="165" fontId="9" fillId="10" borderId="0" xfId="1" applyNumberFormat="1" applyFont="1" applyFill="1" applyBorder="1"/>
    <xf numFmtId="0" fontId="9" fillId="10" borderId="31" xfId="0" applyFont="1" applyFill="1" applyBorder="1"/>
    <xf numFmtId="0" fontId="4" fillId="4" borderId="30" xfId="0" applyFont="1" applyFill="1" applyBorder="1"/>
    <xf numFmtId="0" fontId="0" fillId="5" borderId="8" xfId="0" applyFill="1" applyBorder="1" applyAlignment="1">
      <alignment vertical="center"/>
    </xf>
    <xf numFmtId="0" fontId="9" fillId="10" borderId="30" xfId="0" applyFont="1" applyFill="1" applyBorder="1" applyAlignment="1">
      <alignment horizontal="left" vertical="center" indent="1"/>
    </xf>
    <xf numFmtId="0" fontId="9" fillId="10" borderId="0" xfId="0" applyFont="1" applyFill="1"/>
    <xf numFmtId="0" fontId="9" fillId="10" borderId="0" xfId="0" applyFont="1" applyFill="1" applyAlignment="1">
      <alignment vertical="center"/>
    </xf>
    <xf numFmtId="0" fontId="9" fillId="10" borderId="31" xfId="0" applyFont="1" applyFill="1" applyBorder="1" applyAlignment="1">
      <alignment vertical="center"/>
    </xf>
    <xf numFmtId="0" fontId="0" fillId="0" borderId="0" xfId="0" applyAlignment="1">
      <alignment vertical="center"/>
    </xf>
    <xf numFmtId="167" fontId="19" fillId="0" borderId="0" xfId="1" applyNumberFormat="1" applyFont="1" applyFill="1"/>
    <xf numFmtId="165" fontId="3" fillId="0" borderId="0" xfId="0" applyNumberFormat="1" applyFont="1"/>
    <xf numFmtId="165" fontId="0" fillId="4" borderId="20" xfId="0" applyNumberFormat="1" applyFill="1" applyBorder="1"/>
    <xf numFmtId="0" fontId="19" fillId="0" borderId="0" xfId="0" applyFont="1"/>
    <xf numFmtId="164" fontId="6" fillId="0" borderId="0" xfId="1" applyFont="1" applyFill="1" applyAlignment="1">
      <alignment horizontal="left"/>
    </xf>
    <xf numFmtId="0" fontId="2" fillId="2" borderId="33" xfId="3" applyBorder="1"/>
    <xf numFmtId="0" fontId="26" fillId="0" borderId="0" xfId="0" applyFont="1"/>
    <xf numFmtId="165" fontId="26" fillId="0" borderId="0" xfId="1" applyNumberFormat="1" applyFont="1"/>
    <xf numFmtId="0" fontId="29" fillId="0" borderId="0" xfId="0" applyFont="1"/>
    <xf numFmtId="0" fontId="28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164" fontId="7" fillId="0" borderId="0" xfId="1" applyFont="1" applyFill="1" applyBorder="1"/>
    <xf numFmtId="0" fontId="22" fillId="0" borderId="0" xfId="0" applyFont="1" applyAlignment="1">
      <alignment horizontal="center"/>
    </xf>
    <xf numFmtId="164" fontId="0" fillId="0" borderId="0" xfId="0" applyNumberFormat="1"/>
    <xf numFmtId="0" fontId="30" fillId="0" borderId="0" xfId="0" applyFont="1"/>
    <xf numFmtId="167" fontId="0" fillId="0" borderId="0" xfId="1" applyNumberFormat="1" applyFont="1" applyFill="1" applyBorder="1"/>
    <xf numFmtId="167" fontId="0" fillId="0" borderId="0" xfId="1" applyNumberFormat="1" applyFont="1" applyFill="1"/>
    <xf numFmtId="165" fontId="7" fillId="0" borderId="0" xfId="1" applyNumberFormat="1" applyFont="1" applyFill="1" applyBorder="1"/>
    <xf numFmtId="0" fontId="0" fillId="4" borderId="15" xfId="0" applyFill="1" applyBorder="1" applyAlignment="1">
      <alignment vertical="center"/>
    </xf>
    <xf numFmtId="9" fontId="1" fillId="4" borderId="0" xfId="2" applyFont="1" applyFill="1" applyBorder="1"/>
    <xf numFmtId="165" fontId="4" fillId="4" borderId="24" xfId="0" applyNumberFormat="1" applyFont="1" applyFill="1" applyBorder="1"/>
    <xf numFmtId="0" fontId="8" fillId="4" borderId="11" xfId="0" applyFont="1" applyFill="1" applyBorder="1"/>
    <xf numFmtId="0" fontId="0" fillId="4" borderId="35" xfId="0" applyFill="1" applyBorder="1"/>
    <xf numFmtId="0" fontId="0" fillId="4" borderId="21" xfId="0" applyFill="1" applyBorder="1"/>
    <xf numFmtId="0" fontId="32" fillId="11" borderId="0" xfId="0" applyFont="1" applyFill="1" applyAlignment="1">
      <alignment horizontal="left"/>
    </xf>
    <xf numFmtId="0" fontId="33" fillId="0" borderId="36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8" fillId="4" borderId="0" xfId="0" applyFont="1" applyFill="1"/>
    <xf numFmtId="164" fontId="2" fillId="2" borderId="1" xfId="1" applyFont="1" applyFill="1" applyBorder="1"/>
    <xf numFmtId="165" fontId="4" fillId="4" borderId="16" xfId="0" applyNumberFormat="1" applyFont="1" applyFill="1" applyBorder="1"/>
    <xf numFmtId="165" fontId="0" fillId="4" borderId="16" xfId="0" applyNumberFormat="1" applyFill="1" applyBorder="1"/>
    <xf numFmtId="0" fontId="4" fillId="4" borderId="15" xfId="0" applyFont="1" applyFill="1" applyBorder="1"/>
    <xf numFmtId="0" fontId="0" fillId="4" borderId="13" xfId="0" applyFill="1" applyBorder="1" applyAlignment="1">
      <alignment horizontal="right"/>
    </xf>
    <xf numFmtId="165" fontId="0" fillId="0" borderId="0" xfId="1" applyNumberFormat="1" applyFont="1" applyAlignment="1">
      <alignment vertical="top" wrapText="1"/>
    </xf>
    <xf numFmtId="166" fontId="2" fillId="2" borderId="1" xfId="2" applyNumberFormat="1" applyFont="1" applyFill="1" applyBorder="1"/>
    <xf numFmtId="165" fontId="31" fillId="0" borderId="34" xfId="4" applyNumberFormat="1" applyFill="1"/>
    <xf numFmtId="165" fontId="2" fillId="2" borderId="1" xfId="3" applyNumberFormat="1"/>
    <xf numFmtId="0" fontId="35" fillId="0" borderId="0" xfId="0" applyFont="1"/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7" fillId="12" borderId="38" xfId="0" applyFont="1" applyFill="1" applyBorder="1" applyAlignment="1">
      <alignment horizontal="left" vertical="center" wrapText="1"/>
    </xf>
    <xf numFmtId="1" fontId="7" fillId="12" borderId="38" xfId="0" applyNumberFormat="1" applyFont="1" applyFill="1" applyBorder="1" applyAlignment="1">
      <alignment horizontal="right" vertical="center" wrapText="1"/>
    </xf>
    <xf numFmtId="0" fontId="4" fillId="12" borderId="0" xfId="0" applyFont="1" applyFill="1" applyAlignment="1">
      <alignment vertical="center"/>
    </xf>
    <xf numFmtId="1" fontId="7" fillId="12" borderId="0" xfId="0" applyNumberFormat="1" applyFont="1" applyFill="1" applyAlignment="1">
      <alignment horizontal="right" vertical="center" wrapText="1"/>
    </xf>
    <xf numFmtId="0" fontId="0" fillId="12" borderId="0" xfId="0" applyFill="1" applyAlignment="1">
      <alignment horizontal="right" vertical="center"/>
    </xf>
    <xf numFmtId="1" fontId="36" fillId="12" borderId="0" xfId="0" applyNumberFormat="1" applyFont="1" applyFill="1" applyAlignment="1">
      <alignment horizontal="right" vertical="center" wrapText="1"/>
    </xf>
    <xf numFmtId="0" fontId="4" fillId="12" borderId="0" xfId="0" applyFont="1" applyFill="1" applyAlignment="1">
      <alignment horizontal="left" vertical="center"/>
    </xf>
    <xf numFmtId="1" fontId="0" fillId="12" borderId="0" xfId="0" applyNumberFormat="1" applyFill="1" applyAlignment="1">
      <alignment horizontal="right" vertical="center"/>
    </xf>
    <xf numFmtId="0" fontId="0" fillId="12" borderId="0" xfId="0" applyFill="1" applyAlignment="1">
      <alignment vertical="center"/>
    </xf>
    <xf numFmtId="1" fontId="4" fillId="12" borderId="38" xfId="0" applyNumberFormat="1" applyFont="1" applyFill="1" applyBorder="1" applyAlignment="1">
      <alignment horizontal="right" vertical="center"/>
    </xf>
    <xf numFmtId="1" fontId="4" fillId="12" borderId="38" xfId="0" applyNumberFormat="1" applyFont="1" applyFill="1" applyBorder="1" applyAlignment="1">
      <alignment horizontal="right"/>
    </xf>
    <xf numFmtId="0" fontId="0" fillId="12" borderId="0" xfId="0" applyFill="1" applyAlignment="1">
      <alignment horizontal="right"/>
    </xf>
    <xf numFmtId="1" fontId="0" fillId="12" borderId="0" xfId="0" applyNumberFormat="1" applyFill="1" applyAlignment="1">
      <alignment horizontal="right"/>
    </xf>
    <xf numFmtId="0" fontId="0" fillId="12" borderId="0" xfId="0" applyFill="1"/>
    <xf numFmtId="166" fontId="37" fillId="0" borderId="0" xfId="2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168" fontId="0" fillId="0" borderId="0" xfId="0" applyNumberFormat="1"/>
    <xf numFmtId="0" fontId="0" fillId="4" borderId="39" xfId="0" applyFill="1" applyBorder="1" applyAlignment="1">
      <alignment horizontal="center"/>
    </xf>
    <xf numFmtId="9" fontId="37" fillId="0" borderId="0" xfId="0" applyNumberFormat="1" applyFont="1" applyAlignment="1">
      <alignment horizontal="center"/>
    </xf>
    <xf numFmtId="168" fontId="0" fillId="0" borderId="0" xfId="0" applyNumberFormat="1" applyAlignment="1">
      <alignment vertical="center"/>
    </xf>
    <xf numFmtId="9" fontId="38" fillId="0" borderId="0" xfId="0" applyNumberFormat="1" applyFont="1" applyAlignment="1">
      <alignment horizontal="center"/>
    </xf>
    <xf numFmtId="3" fontId="0" fillId="4" borderId="39" xfId="0" applyNumberFormat="1" applyFill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4" fillId="14" borderId="0" xfId="0" applyFont="1" applyFill="1"/>
    <xf numFmtId="0" fontId="4" fillId="16" borderId="0" xfId="0" applyFont="1" applyFill="1" applyAlignment="1">
      <alignment horizontal="left"/>
    </xf>
    <xf numFmtId="0" fontId="4" fillId="16" borderId="0" xfId="0" applyFont="1" applyFill="1" applyAlignment="1">
      <alignment horizontal="center"/>
    </xf>
    <xf numFmtId="0" fontId="4" fillId="16" borderId="0" xfId="0" applyFont="1" applyFill="1"/>
    <xf numFmtId="0" fontId="39" fillId="17" borderId="0" xfId="0" applyFont="1" applyFill="1"/>
    <xf numFmtId="0" fontId="39" fillId="18" borderId="0" xfId="0" applyFont="1" applyFill="1"/>
    <xf numFmtId="0" fontId="4" fillId="19" borderId="0" xfId="0" applyFont="1" applyFill="1"/>
    <xf numFmtId="2" fontId="4" fillId="0" borderId="0" xfId="0" applyNumberFormat="1" applyFont="1" applyAlignment="1">
      <alignment horizontal="center"/>
    </xf>
    <xf numFmtId="0" fontId="11" fillId="0" borderId="0" xfId="0" applyFont="1"/>
    <xf numFmtId="168" fontId="0" fillId="0" borderId="0" xfId="5" applyNumberFormat="1" applyFont="1" applyBorder="1"/>
    <xf numFmtId="9" fontId="0" fillId="0" borderId="0" xfId="2" applyFont="1" applyBorder="1"/>
    <xf numFmtId="0" fontId="0" fillId="0" borderId="40" xfId="0" applyBorder="1"/>
    <xf numFmtId="168" fontId="0" fillId="0" borderId="40" xfId="5" applyNumberFormat="1" applyFont="1" applyBorder="1"/>
    <xf numFmtId="9" fontId="0" fillId="0" borderId="40" xfId="2" applyFont="1" applyBorder="1"/>
    <xf numFmtId="0" fontId="0" fillId="0" borderId="41" xfId="0" applyBorder="1"/>
    <xf numFmtId="168" fontId="0" fillId="0" borderId="41" xfId="5" applyNumberFormat="1" applyFont="1" applyBorder="1"/>
    <xf numFmtId="9" fontId="0" fillId="0" borderId="41" xfId="2" applyFont="1" applyBorder="1"/>
    <xf numFmtId="3" fontId="0" fillId="0" borderId="0" xfId="0" applyNumberFormat="1"/>
    <xf numFmtId="9" fontId="37" fillId="0" borderId="0" xfId="2" applyFont="1"/>
    <xf numFmtId="168" fontId="0" fillId="0" borderId="0" xfId="5" applyNumberFormat="1" applyFont="1"/>
    <xf numFmtId="0" fontId="0" fillId="0" borderId="42" xfId="0" applyBorder="1"/>
    <xf numFmtId="3" fontId="0" fillId="0" borderId="42" xfId="0" applyNumberFormat="1" applyBorder="1"/>
    <xf numFmtId="9" fontId="37" fillId="0" borderId="42" xfId="2" applyFont="1" applyBorder="1"/>
    <xf numFmtId="9" fontId="0" fillId="0" borderId="42" xfId="2" applyFont="1" applyBorder="1"/>
    <xf numFmtId="166" fontId="0" fillId="0" borderId="42" xfId="2" applyNumberFormat="1" applyFont="1" applyBorder="1"/>
    <xf numFmtId="168" fontId="0" fillId="0" borderId="42" xfId="5" applyNumberFormat="1" applyFont="1" applyBorder="1"/>
    <xf numFmtId="2" fontId="0" fillId="0" borderId="42" xfId="0" applyNumberForma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2" xfId="0" applyFont="1" applyBorder="1"/>
    <xf numFmtId="166" fontId="0" fillId="0" borderId="0" xfId="2" applyNumberFormat="1" applyFont="1"/>
    <xf numFmtId="10" fontId="0" fillId="0" borderId="40" xfId="2" applyNumberFormat="1" applyFont="1" applyBorder="1"/>
    <xf numFmtId="1" fontId="0" fillId="0" borderId="42" xfId="0" applyNumberFormat="1" applyBorder="1"/>
    <xf numFmtId="9" fontId="0" fillId="0" borderId="42" xfId="2" applyFont="1" applyFill="1" applyBorder="1"/>
    <xf numFmtId="4" fontId="6" fillId="0" borderId="0" xfId="0" applyNumberFormat="1" applyFont="1"/>
    <xf numFmtId="9" fontId="37" fillId="0" borderId="0" xfId="2" applyFont="1" applyBorder="1"/>
    <xf numFmtId="0" fontId="4" fillId="0" borderId="11" xfId="0" applyFont="1" applyBorder="1"/>
    <xf numFmtId="3" fontId="4" fillId="0" borderId="11" xfId="0" applyNumberFormat="1" applyFont="1" applyBorder="1"/>
    <xf numFmtId="9" fontId="4" fillId="0" borderId="11" xfId="0" applyNumberFormat="1" applyFont="1" applyBorder="1"/>
    <xf numFmtId="168" fontId="4" fillId="0" borderId="11" xfId="5" applyNumberFormat="1" applyFont="1" applyBorder="1"/>
    <xf numFmtId="0" fontId="4" fillId="0" borderId="11" xfId="0" applyFont="1" applyBorder="1" applyAlignment="1">
      <alignment horizontal="center"/>
    </xf>
    <xf numFmtId="0" fontId="3" fillId="20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1" fontId="4" fillId="12" borderId="0" xfId="0" applyNumberFormat="1" applyFont="1" applyFill="1" applyAlignment="1">
      <alignment horizontal="right" vertical="center"/>
    </xf>
    <xf numFmtId="1" fontId="4" fillId="12" borderId="0" xfId="0" applyNumberFormat="1" applyFont="1" applyFill="1" applyAlignment="1">
      <alignment horizontal="right"/>
    </xf>
    <xf numFmtId="49" fontId="0" fillId="0" borderId="0" xfId="0" applyNumberFormat="1"/>
    <xf numFmtId="49" fontId="15" fillId="7" borderId="0" xfId="0" applyNumberFormat="1" applyFont="1" applyFill="1"/>
    <xf numFmtId="49" fontId="16" fillId="7" borderId="0" xfId="0" applyNumberFormat="1" applyFont="1" applyFill="1" applyAlignment="1">
      <alignment horizontal="center"/>
    </xf>
    <xf numFmtId="49" fontId="17" fillId="8" borderId="0" xfId="0" applyNumberFormat="1" applyFont="1" applyFill="1"/>
    <xf numFmtId="49" fontId="4" fillId="8" borderId="0" xfId="0" applyNumberFormat="1" applyFont="1" applyFill="1"/>
    <xf numFmtId="49" fontId="4" fillId="0" borderId="0" xfId="0" applyNumberFormat="1" applyFont="1"/>
    <xf numFmtId="49" fontId="0" fillId="0" borderId="0" xfId="0" applyNumberFormat="1" applyAlignment="1">
      <alignment horizontal="left"/>
    </xf>
    <xf numFmtId="49" fontId="9" fillId="0" borderId="0" xfId="0" applyNumberFormat="1" applyFont="1"/>
    <xf numFmtId="165" fontId="9" fillId="0" borderId="0" xfId="1" applyNumberFormat="1" applyFont="1" applyAlignment="1">
      <alignment vertical="top"/>
    </xf>
    <xf numFmtId="165" fontId="0" fillId="0" borderId="0" xfId="1" applyNumberFormat="1" applyFont="1" applyAlignment="1">
      <alignment vertical="top"/>
    </xf>
    <xf numFmtId="0" fontId="0" fillId="22" borderId="45" xfId="0" applyFill="1" applyBorder="1"/>
    <xf numFmtId="0" fontId="0" fillId="0" borderId="46" xfId="0" applyBorder="1"/>
    <xf numFmtId="0" fontId="0" fillId="0" borderId="45" xfId="0" applyBorder="1"/>
    <xf numFmtId="0" fontId="0" fillId="22" borderId="46" xfId="0" applyFill="1" applyBorder="1"/>
    <xf numFmtId="0" fontId="3" fillId="21" borderId="43" xfId="0" applyFont="1" applyFill="1" applyBorder="1"/>
    <xf numFmtId="0" fontId="3" fillId="21" borderId="44" xfId="0" applyFont="1" applyFill="1" applyBorder="1"/>
    <xf numFmtId="0" fontId="3" fillId="21" borderId="45" xfId="0" applyFont="1" applyFill="1" applyBorder="1"/>
    <xf numFmtId="9" fontId="0" fillId="22" borderId="45" xfId="2" applyFont="1" applyFill="1" applyBorder="1"/>
    <xf numFmtId="1" fontId="0" fillId="22" borderId="45" xfId="2" applyNumberFormat="1" applyFont="1" applyFill="1" applyBorder="1"/>
    <xf numFmtId="0" fontId="0" fillId="22" borderId="48" xfId="0" applyFill="1" applyBorder="1"/>
    <xf numFmtId="0" fontId="3" fillId="21" borderId="44" xfId="0" applyFont="1" applyFill="1" applyBorder="1" applyAlignment="1">
      <alignment horizontal="center"/>
    </xf>
    <xf numFmtId="0" fontId="3" fillId="21" borderId="47" xfId="0" applyFont="1" applyFill="1" applyBorder="1"/>
    <xf numFmtId="0" fontId="3" fillId="9" borderId="45" xfId="0" applyFont="1" applyFill="1" applyBorder="1"/>
    <xf numFmtId="0" fontId="3" fillId="9" borderId="48" xfId="0" applyFont="1" applyFill="1" applyBorder="1"/>
    <xf numFmtId="0" fontId="6" fillId="22" borderId="45" xfId="0" applyFont="1" applyFill="1" applyBorder="1"/>
    <xf numFmtId="2" fontId="0" fillId="22" borderId="45" xfId="0" applyNumberFormat="1" applyFill="1" applyBorder="1" applyAlignment="1">
      <alignment horizontal="center"/>
    </xf>
    <xf numFmtId="0" fontId="19" fillId="22" borderId="45" xfId="0" applyFont="1" applyFill="1" applyBorder="1" applyAlignment="1">
      <alignment horizontal="center"/>
    </xf>
    <xf numFmtId="0" fontId="9" fillId="22" borderId="45" xfId="0" applyFont="1" applyFill="1" applyBorder="1" applyAlignment="1">
      <alignment horizontal="center"/>
    </xf>
    <xf numFmtId="165" fontId="0" fillId="0" borderId="45" xfId="1" applyNumberFormat="1" applyFont="1" applyBorder="1"/>
    <xf numFmtId="0" fontId="6" fillId="0" borderId="45" xfId="0" applyFont="1" applyBorder="1"/>
    <xf numFmtId="2" fontId="0" fillId="0" borderId="45" xfId="0" applyNumberForma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6" fillId="0" borderId="48" xfId="0" applyFont="1" applyBorder="1"/>
    <xf numFmtId="0" fontId="6" fillId="22" borderId="45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14" xfId="0" applyFont="1" applyFill="1" applyBorder="1" applyAlignment="1">
      <alignment horizont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right"/>
    </xf>
    <xf numFmtId="0" fontId="4" fillId="15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40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9" fontId="0" fillId="0" borderId="0" xfId="2" applyFont="1" applyBorder="1" applyAlignment="1">
      <alignment vertical="center"/>
    </xf>
    <xf numFmtId="9" fontId="0" fillId="0" borderId="40" xfId="2" applyFont="1" applyBorder="1" applyAlignment="1">
      <alignment vertical="center"/>
    </xf>
    <xf numFmtId="9" fontId="37" fillId="0" borderId="0" xfId="2" applyFont="1" applyBorder="1" applyAlignment="1">
      <alignment vertical="center"/>
    </xf>
    <xf numFmtId="9" fontId="37" fillId="0" borderId="40" xfId="2" applyFont="1" applyBorder="1" applyAlignment="1">
      <alignment vertical="center"/>
    </xf>
    <xf numFmtId="0" fontId="0" fillId="0" borderId="41" xfId="0" applyBorder="1" applyAlignment="1">
      <alignment vertical="center"/>
    </xf>
    <xf numFmtId="3" fontId="0" fillId="0" borderId="41" xfId="0" applyNumberFormat="1" applyBorder="1" applyAlignment="1">
      <alignment vertical="center"/>
    </xf>
    <xf numFmtId="9" fontId="0" fillId="0" borderId="41" xfId="2" applyFont="1" applyBorder="1" applyAlignment="1">
      <alignment vertical="center"/>
    </xf>
    <xf numFmtId="9" fontId="6" fillId="0" borderId="41" xfId="2" applyFont="1" applyBorder="1" applyAlignment="1">
      <alignment vertical="center"/>
    </xf>
    <xf numFmtId="9" fontId="6" fillId="0" borderId="0" xfId="2" applyFont="1" applyBorder="1" applyAlignment="1">
      <alignment vertical="center"/>
    </xf>
    <xf numFmtId="9" fontId="6" fillId="0" borderId="4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0" xfId="0" applyFont="1" applyBorder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0" xfId="0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37" fillId="0" borderId="41" xfId="2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center"/>
    </xf>
    <xf numFmtId="1" fontId="0" fillId="0" borderId="41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1" fontId="0" fillId="0" borderId="40" xfId="0" applyNumberForma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41" xfId="0" applyBorder="1" applyAlignment="1"/>
    <xf numFmtId="0" fontId="0" fillId="0" borderId="0" xfId="0" applyAlignment="1"/>
    <xf numFmtId="0" fontId="0" fillId="0" borderId="40" xfId="0" applyBorder="1" applyAlignment="1"/>
    <xf numFmtId="0" fontId="9" fillId="0" borderId="4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/>
    <xf numFmtId="0" fontId="9" fillId="0" borderId="0" xfId="0" applyFont="1" applyAlignment="1"/>
    <xf numFmtId="0" fontId="9" fillId="0" borderId="40" xfId="0" applyFont="1" applyBorder="1" applyAlignment="1"/>
  </cellXfs>
  <cellStyles count="6">
    <cellStyle name="Gekoppelde cel" xfId="4" builtinId="24"/>
    <cellStyle name="Invoer" xfId="3" builtinId="20"/>
    <cellStyle name="Komma" xfId="1" builtinId="3"/>
    <cellStyle name="Procent" xfId="2" builtinId="5"/>
    <cellStyle name="Standaard" xfId="0" builtinId="0"/>
    <cellStyle name="Valuta" xfId="5" builtinId="4"/>
  </cellStyles>
  <dxfs count="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&quot;€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&quot;€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&quot;€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theme="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theme="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theme="5"/>
        </patternFill>
      </fill>
    </dxf>
    <dxf>
      <font>
        <color auto="1"/>
      </font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numFmt numFmtId="2" formatCode="0.00"/>
      <fill>
        <patternFill patternType="none">
          <fgColor indexed="64"/>
          <bgColor theme="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  <dxf>
      <font>
        <color theme="1" tint="0.499984740745262"/>
      </font>
      <fill>
        <patternFill patternType="solid">
          <fgColor auto="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landschappen365-my.sharepoint.com/personal/r_vangerwen_natuurlijkezaken_nl/Documents/Innovatie%20Programma%20Veen/IPV%20Team/Project%204%20Markt/8%20Rapportage/211224%20Eindversie%20Spaak/211222%20Marktomvang%20-%20Rekentool%20verdienmodel%20v2.0.xlsx?BF5A4578" TargetMode="External"/><Relationship Id="rId1" Type="http://schemas.openxmlformats.org/officeDocument/2006/relationships/externalLinkPath" Target="file:///\\BF5A4578\211222%20Marktomvang%20-%20Rekentool%20verdienmodel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 - Methode &amp; Conclusies"/>
      <sheetName val="SAMENVATTING"/>
      <sheetName val="SCENARIO 1 - Gemiddeld"/>
      <sheetName val="SCENARIO 2 - Beste geval"/>
      <sheetName val="SCENARIO 3 - Slechtste geval"/>
      <sheetName val="SCENARIO 4 - Vrij invulbaar"/>
      <sheetName val="MARKTOMVANG"/>
      <sheetName val="DATA - Variabelen &amp; waarden"/>
    </sheetNames>
    <sheetDataSet>
      <sheetData sheetId="0"/>
      <sheetData sheetId="1"/>
      <sheetData sheetId="2">
        <row r="116">
          <cell r="K116">
            <v>0.5</v>
          </cell>
        </row>
      </sheetData>
      <sheetData sheetId="3"/>
      <sheetData sheetId="4"/>
      <sheetData sheetId="5"/>
      <sheetData sheetId="6"/>
      <sheetData sheetId="7">
        <row r="169">
          <cell r="F169">
            <v>12</v>
          </cell>
        </row>
        <row r="282">
          <cell r="B282" t="str">
            <v>Bouw - Isolatieplaat (Typha Board)</v>
          </cell>
          <cell r="F282">
            <v>600</v>
          </cell>
        </row>
        <row r="283">
          <cell r="B283" t="str">
            <v>Bouw - Inblaasisolatie</v>
          </cell>
          <cell r="F283">
            <v>1200</v>
          </cell>
        </row>
        <row r="284">
          <cell r="B284" t="str">
            <v xml:space="preserve">Bouw - Particle board </v>
          </cell>
          <cell r="F284">
            <v>200</v>
          </cell>
        </row>
        <row r="285">
          <cell r="B285" t="str">
            <v xml:space="preserve">Bouw - Binderless board </v>
          </cell>
          <cell r="F285">
            <v>400</v>
          </cell>
        </row>
        <row r="286">
          <cell r="B286" t="str">
            <v>Bouw - Cellulose fibre board (ECOR)</v>
          </cell>
          <cell r="F286">
            <v>100</v>
          </cell>
        </row>
        <row r="287">
          <cell r="B287" t="str">
            <v>Bouw - Beton - Vuller</v>
          </cell>
          <cell r="F287">
            <v>175</v>
          </cell>
        </row>
        <row r="288">
          <cell r="B288" t="str">
            <v>Bouw - Beton - Droge mortel - Versterker</v>
          </cell>
          <cell r="F288">
            <v>1290</v>
          </cell>
        </row>
        <row r="289">
          <cell r="B289" t="str">
            <v xml:space="preserve">Plastics - Spuitgieten - Vuller </v>
          </cell>
          <cell r="F289">
            <v>300</v>
          </cell>
        </row>
        <row r="290">
          <cell r="B290" t="str">
            <v>Plastics - Composiet matrix</v>
          </cell>
          <cell r="F290">
            <v>200</v>
          </cell>
        </row>
        <row r="291">
          <cell r="B291" t="str">
            <v xml:space="preserve">Papier - Moulded fibre </v>
          </cell>
          <cell r="F291">
            <v>50</v>
          </cell>
        </row>
        <row r="292">
          <cell r="B292" t="str">
            <v>Papier - Massief karton - Vuller</v>
          </cell>
          <cell r="F292">
            <v>200</v>
          </cell>
        </row>
        <row r="293">
          <cell r="B293" t="str">
            <v xml:space="preserve">Papier - Decoratie </v>
          </cell>
          <cell r="F293">
            <v>100</v>
          </cell>
        </row>
        <row r="294">
          <cell r="B294" t="str">
            <v>Substraat - Oesterzwammen</v>
          </cell>
          <cell r="F294">
            <v>100</v>
          </cell>
        </row>
        <row r="295">
          <cell r="B295" t="str">
            <v>Substraat - Turf &amp; veenvervangers</v>
          </cell>
          <cell r="F295">
            <v>200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F04787-FEAD-BF4E-B5C8-92883E1F0BD4}" name="CultInvest01" displayName="CultInvest01" ref="B22:V39" headerRowDxfId="447" headerRowBorderDxfId="446" tableBorderDxfId="445">
  <tableColumns count="21">
    <tableColumn id="1" xr3:uid="{FAA72234-A6F3-2447-8D17-C9734CF5283B}" name="Teelt - Investeringen perceel" totalsRowLabel="Totaal"/>
    <tableColumn id="2" xr3:uid="{1920CDAB-8BE7-B647-88A7-D5CA4EC9C96F}" name="Eenheid"/>
    <tableColumn id="3" xr3:uid="{904A9E88-A821-0B43-B133-7354DF0B3300}" name="Geen" totalsRowFunction="sum" dataDxfId="444"/>
    <tableColumn id="4" xr3:uid="{D55831CD-8E3F-8643-A561-11BA241815F4}" name="Waarde MAX" totalsRowFunction="sum" dataDxfId="443" totalsRowDxfId="442"/>
    <tableColumn id="5" xr3:uid="{A51B8E56-6B4D-9E47-9D0E-92639E400C7C}" name="Waarde GEM" totalsRowFunction="sum" dataDxfId="441" totalsRowDxfId="440"/>
    <tableColumn id="6" xr3:uid="{7E6D023E-268D-0C46-BC70-35BF746D401F}" name="Waarde MIN" totalsRowFunction="sum" dataDxfId="439" totalsRowDxfId="438"/>
    <tableColumn id="7" xr3:uid="{453BF078-8491-094E-92B4-61363C47E63E}" name="Opmerkingen"/>
    <tableColumn id="8" xr3:uid="{1F666AE7-577A-A344-94E4-8DE82300D6E9}" name="Status beschrijving"/>
    <tableColumn id="9" xr3:uid="{7559C667-21A3-2B48-8106-0846871DE3BE}" name="Status" dataDxfId="437"/>
    <tableColumn id="13" xr3:uid="{87437DDB-0DF5-994D-A716-F8A0D76534DD}" name="Bron 1 - naam/jaar"/>
    <tableColumn id="14" xr3:uid="{D4F20C06-33AA-AD42-BAF4-45C61FE4269E}" name="Bron 1 - waarde" dataDxfId="436"/>
    <tableColumn id="15" xr3:uid="{2CE00DCC-52AB-284C-BEB3-DAC701B1335F}" name="Bron 1 - type/link"/>
    <tableColumn id="16" xr3:uid="{CB6F16E8-3AC3-E641-9E11-13FF2A8DC7CE}" name="Bron 2 - naam/jaar"/>
    <tableColumn id="17" xr3:uid="{9B7683C0-7A27-8C4C-B7FE-118899263609}" name="Bron 2 - waarde" dataDxfId="435"/>
    <tableColumn id="18" xr3:uid="{8ACC228C-9500-6E4C-A290-8C5AD5BED165}" name="Bron 2 - type/link"/>
    <tableColumn id="19" xr3:uid="{CD987485-72D8-E44A-B326-76A7BFE1EF3B}" name="Bron 3 - naam/jaar"/>
    <tableColumn id="20" xr3:uid="{8189830D-7F9D-A144-A4A6-3766E8533DC4}" name="Bron 3 - waarde" dataDxfId="434"/>
    <tableColumn id="21" xr3:uid="{5D8DCCB7-0065-924D-9E6E-F5A18D383AA2}" name="Bron 3 - type/link" totalsRowFunction="count"/>
    <tableColumn id="10" xr3:uid="{6A2B893B-DD6B-2B42-949D-2EE7ADEE86F2}" name="Actie"/>
    <tableColumn id="11" xr3:uid="{1D8A1181-823D-4A43-B622-D724E6200427}" name="Eigenaar"/>
    <tableColumn id="12" xr3:uid="{968874BF-1454-854B-BCC9-4AC8A907CC07}" name="Deadlin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6FB4BE-D6AE-7248-BA54-65D1003D50E5}" name="CultInvest02" displayName="CultInvest02" ref="B45:V52" totalsRowShown="0" headerRowDxfId="433">
  <tableColumns count="21">
    <tableColumn id="1" xr3:uid="{F6A7B39B-28A2-E247-8832-6B1649A72815}" name="Planten / Zaaien - Algemene kosten" dataDxfId="432" totalsRowDxfId="431"/>
    <tableColumn id="2" xr3:uid="{050AF480-AC25-204C-93E5-C5A4BF8B1F62}" name="Eenheid"/>
    <tableColumn id="3" xr3:uid="{653CF2E0-1B69-2844-8969-54938F1EEE5A}" name="Geen" dataDxfId="430"/>
    <tableColumn id="4" xr3:uid="{FB1AA1E5-FDEB-6B4C-87A2-71E835B83AFE}" name="Waarde MAX" dataDxfId="429" totalsRowDxfId="428"/>
    <tableColumn id="5" xr3:uid="{A01B7D8B-FB3E-1945-B7A9-2BC405FAF101}" name="Waarde GEM" dataDxfId="427" totalsRowDxfId="426"/>
    <tableColumn id="6" xr3:uid="{7092E818-C023-104D-9672-5D2A87F56B05}" name="Waarde MIN" dataDxfId="425" totalsRowDxfId="424"/>
    <tableColumn id="7" xr3:uid="{4A52B3D4-9E89-DB49-91CF-EEADC3F1DC82}" name="Opmerkingen"/>
    <tableColumn id="8" xr3:uid="{D33CA84A-F8D5-E344-B700-A28F235419AF}" name="Status beschrijving"/>
    <tableColumn id="9" xr3:uid="{CE59E8D6-4FD5-984A-A43B-DAE0C822997F}" name="Status" dataDxfId="423"/>
    <tableColumn id="13" xr3:uid="{2955B997-39BB-4449-9216-AED2EB76AB72}" name="Bron 1 - naam/jaar"/>
    <tableColumn id="14" xr3:uid="{E5CA8273-3E59-E44D-8128-8A3B16E29AEB}" name="Bron 1 - waarde" dataDxfId="422">
      <calculatedColumnFormula>29.71+26.23</calculatedColumnFormula>
    </tableColumn>
    <tableColumn id="15" xr3:uid="{4041D786-DB94-994C-B149-5B38C6AB65FF}" name="Bron 1 - type/link"/>
    <tableColumn id="16" xr3:uid="{08B83818-676D-BD40-881F-658DAF10FEDD}" name="Bron 2 - naam/jaar"/>
    <tableColumn id="17" xr3:uid="{FB4D6C0A-4D57-C24F-8F27-10690D378A61}" name="Bron 2 - waarde" dataDxfId="421"/>
    <tableColumn id="18" xr3:uid="{2615FA71-6DFD-9847-81C0-3C6DDBEEB5DF}" name="Bron 2 - type/link"/>
    <tableColumn id="19" xr3:uid="{5BB78B24-72F8-2041-8B46-1642EC1A47DF}" name="Bron 3 - naam/jaar"/>
    <tableColumn id="20" xr3:uid="{F7B6D02A-B745-EA47-BB62-8A30D0EE33FB}" name="Bron 3 - waarde" dataDxfId="420"/>
    <tableColumn id="21" xr3:uid="{5617D495-F1F0-EF43-8B5A-8496695C3481}" name="Bron 3 - type/link"/>
    <tableColumn id="10" xr3:uid="{0F7AF38C-93A9-BC46-B6C2-BD5D24EB158E}" name="Actie"/>
    <tableColumn id="11" xr3:uid="{D3752BEC-F870-8C49-9857-C74A180A5E01}" name="Eigenaar"/>
    <tableColumn id="12" xr3:uid="{ED2D728A-3CB8-774A-B88D-9A0283B4C489}" name="Deadline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36A8A2-C1B7-D64F-B0C5-8C18F6A213EE}" name="CultCost04" displayName="CultCost04" ref="B83:V90" totalsRowShown="0" headerRowDxfId="419">
  <tableColumns count="21">
    <tableColumn id="1" xr3:uid="{E291A505-247E-134E-B242-3769ECD50B71}" name="Onderhoud" dataDxfId="418">
      <calculatedColumnFormula>B25</calculatedColumnFormula>
    </tableColumn>
    <tableColumn id="2" xr3:uid="{BD323988-377F-C844-96F5-315564879AD4}" name="Eenheid"/>
    <tableColumn id="3" xr3:uid="{C0EBA901-79DC-CC45-8F14-31736E8668B0}" name="Geen"/>
    <tableColumn id="4" xr3:uid="{C4A75339-FF65-EE48-BFF8-BBED5BA40EF1}" name="Waarde MAX"/>
    <tableColumn id="5" xr3:uid="{CF248281-CDDE-E44C-8939-8ACD3FE139A2}" name="Waarde GEM"/>
    <tableColumn id="6" xr3:uid="{379E580F-F977-FB4A-918B-E82936D0F2D1}" name="Waarde MIN"/>
    <tableColumn id="7" xr3:uid="{C5E60BC4-ABB0-824B-9F47-C1C6F85D6164}" name="Opmerkingen"/>
    <tableColumn id="8" xr3:uid="{7D79A08D-C018-5042-B55C-302A6CC50C23}" name="Status beschrijving" dataDxfId="417"/>
    <tableColumn id="9" xr3:uid="{9BA6B801-CF8C-D047-88BA-1FDFA04A6D79}" name="Status" dataDxfId="416"/>
    <tableColumn id="13" xr3:uid="{4B8F298D-42A6-DF47-A3DE-2F812BAA58C6}" name="Bron 1 - naam/jaar" dataDxfId="415"/>
    <tableColumn id="14" xr3:uid="{C5E27F1C-2AB5-0641-A276-20C124C1AC35}" name="Bron 1 - waarde" dataDxfId="414"/>
    <tableColumn id="15" xr3:uid="{F307AE00-E8A8-6744-B1AC-DE665400A32D}" name="Bron 1 - type/link"/>
    <tableColumn id="16" xr3:uid="{ECAA0B94-C963-F54F-8E9D-16EDE48A814E}" name="Bron 2 - naam/jaar"/>
    <tableColumn id="17" xr3:uid="{B255E310-E4FD-1A45-8BC0-A66446032001}" name="Bron 2 - waarde" dataDxfId="413"/>
    <tableColumn id="18" xr3:uid="{6A4A6501-DF9D-1644-81D8-73440B30014F}" name="Bron 2 - type/link"/>
    <tableColumn id="19" xr3:uid="{B1B5BF2B-2130-7549-8B9F-66C0895BA3FE}" name="Bron 3 - naam/jaar"/>
    <tableColumn id="20" xr3:uid="{9F0B9D92-F0C5-BB4E-94C3-802E00C3A47B}" name="Bron 3 - waarde" dataDxfId="412"/>
    <tableColumn id="21" xr3:uid="{8B350AC5-DF2B-7C4B-B447-F788527356C5}" name="Bron 3 - type/link"/>
    <tableColumn id="10" xr3:uid="{29A6CD68-C947-FD41-9ADC-9E1AFCCDFAC6}" name="Actie"/>
    <tableColumn id="11" xr3:uid="{C0E5FDBA-2E28-634C-809B-551E61B68C61}" name="Eigenaar"/>
    <tableColumn id="12" xr3:uid="{7DE17217-329B-1E4D-B3EF-D6ADFB8767F7}" name="Deadline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DB4517-2697-BD4D-9C53-766F49516E2F}" name="CultCost01" displayName="CultCost01" ref="B56:V72" headerRowDxfId="411">
  <tableColumns count="21">
    <tableColumn id="1" xr3:uid="{98AF5385-3F6F-2E45-81D0-283AC7DFD5FA}" name="Gewasverzorging" totalsRowLabel="Totaal"/>
    <tableColumn id="2" xr3:uid="{8D324A90-5D23-BA44-A992-0C1E17094DC0}" name="Eenheid" dataDxfId="410" totalsRowDxfId="409"/>
    <tableColumn id="3" xr3:uid="{F4AD0914-39F6-0943-BFAA-1B1DD8F0C64F}" name="Geen" totalsRowFunction="sum" dataDxfId="408"/>
    <tableColumn id="4" xr3:uid="{51C65BAD-6B1A-A24E-9B29-84D5E8266F3C}" name="Waarde MAX" totalsRowFunction="sum" dataDxfId="407" totalsRowDxfId="406"/>
    <tableColumn id="5" xr3:uid="{2EFB3614-4DE7-D944-96A4-F92AF784EFC8}" name="Waarde GEM" totalsRowFunction="sum" dataDxfId="405" totalsRowDxfId="404"/>
    <tableColumn id="6" xr3:uid="{839B4311-1FDC-1845-B2DD-638B1BEEC4F9}" name="Waarde MIN" totalsRowFunction="sum" dataDxfId="403" totalsRowDxfId="402"/>
    <tableColumn id="7" xr3:uid="{C2671CD4-7738-594A-8EE2-4FBEA5B7C672}" name="Opmerkingen"/>
    <tableColumn id="8" xr3:uid="{857D75C9-DC6E-8443-B16F-9862F9BAC8F6}" name="Status beschrijving"/>
    <tableColumn id="9" xr3:uid="{B8ADC0A2-B940-B84D-94F9-B3864DA05A45}" name="Status" dataDxfId="401"/>
    <tableColumn id="13" xr3:uid="{652E1ADB-CE21-3147-805C-B894730A9D70}" name="Bron 1 - naam/jaar"/>
    <tableColumn id="14" xr3:uid="{0A55093C-FFF4-004D-B247-A0B237A4D779}" name="Bron 1 - waarde" dataDxfId="400"/>
    <tableColumn id="15" xr3:uid="{B4E32913-AC5A-5141-97E6-4D40651014CB}" name="Bron 1 - type/link"/>
    <tableColumn id="16" xr3:uid="{FF63203D-BD55-234A-9BB7-5D50E45470CC}" name="Bron 2 - naam/jaar"/>
    <tableColumn id="17" xr3:uid="{AF35C4C6-5FED-F344-A4AE-BF2E07B04A60}" name="Bron 2 - waarde" dataDxfId="399"/>
    <tableColumn id="18" xr3:uid="{12E65E4E-2EDE-4441-96B6-87B9779A836C}" name="Bron 2 - type/link"/>
    <tableColumn id="19" xr3:uid="{264013E5-3E34-874A-AF84-0785D2D0CECC}" name="Bron 3 - naam/jaar"/>
    <tableColumn id="20" xr3:uid="{77E6CE0C-2E76-2945-9164-1893DB92E64A}" name="Bron 3 - waarde" dataDxfId="398"/>
    <tableColumn id="21" xr3:uid="{F12315A5-AD1C-0841-A8C5-10B2BA02FA11}" name="Bron 3 - type/link" totalsRowFunction="count"/>
    <tableColumn id="10" xr3:uid="{8A79C95E-3BC5-9148-9053-FF55BD15C1B6}" name="Actie"/>
    <tableColumn id="11" xr3:uid="{FB7C97A7-FAF0-E548-9927-052A550470AA}" name="Eigenaar"/>
    <tableColumn id="12" xr3:uid="{3372CEF8-96D7-ED46-A361-5C0B2B8F69C5}" name="Deadline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3FD299-F08D-014A-8071-F21BB1A320FD}" name="CultCost05" displayName="CultCost05" ref="B92:V97" totalsRowShown="0" headerRowDxfId="397">
  <tableColumns count="21">
    <tableColumn id="1" xr3:uid="{CD66F326-371E-B944-8DEF-979220939141}" name="Afschrijving &amp; aflossing teeltinvesteringen"/>
    <tableColumn id="2" xr3:uid="{8F2B0527-2D53-3F44-812A-80544D2F7258}" name="Eenheid"/>
    <tableColumn id="3" xr3:uid="{921CC211-2903-4445-8396-D8845C0681B9}" name="Geen"/>
    <tableColumn id="4" xr3:uid="{5B5A81A5-67E8-9340-929A-FA7444E82173}" name="Waarde MAX"/>
    <tableColumn id="5" xr3:uid="{3B0C865E-C306-1242-82C3-4371108C203C}" name="Waarde GEM"/>
    <tableColumn id="6" xr3:uid="{0ED4FEEE-BDEB-2045-8744-A55535C37BE2}" name="Waarde MIN"/>
    <tableColumn id="7" xr3:uid="{67928AEF-13A1-E84F-9D79-6A3401F9025F}" name="Opmerkingen"/>
    <tableColumn id="8" xr3:uid="{70B7F582-9B90-1D49-BAF2-546597F4B401}" name="Status beschrijving"/>
    <tableColumn id="9" xr3:uid="{A81CB380-7B36-3049-9827-419C8DB848BC}" name="Status" dataDxfId="396"/>
    <tableColumn id="13" xr3:uid="{77C9C234-5325-0F4E-A77B-56D5ADCB660A}" name="Bron 1 - naam/jaar"/>
    <tableColumn id="14" xr3:uid="{A4971880-7BFA-984A-AD90-C9F4030723BE}" name="Bron 1 - waarde" dataDxfId="395"/>
    <tableColumn id="15" xr3:uid="{1734C200-E1D5-8E43-B52C-9516B1AA3E1E}" name="Bron 1 - type/link"/>
    <tableColumn id="16" xr3:uid="{CE62D3C5-A02D-EC48-92D0-959E44D8BAF4}" name="Bron 2 - naam/jaar"/>
    <tableColumn id="17" xr3:uid="{4CA84E27-686B-414C-AFEC-EDD7D74C96CD}" name="Bron 2 - waarde" dataDxfId="394"/>
    <tableColumn id="18" xr3:uid="{22D183CB-C9A2-5E4B-A7DE-57BAC28D980B}" name="Bron 2 - type/link"/>
    <tableColumn id="19" xr3:uid="{6A96884F-33F5-764C-8A1C-0F930A69551B}" name="Bron 3 - naam/jaar"/>
    <tableColumn id="20" xr3:uid="{74DDDE1B-F8C0-0D43-8599-880C0E0E59DF}" name="Bron 3 - waarde" dataDxfId="393"/>
    <tableColumn id="21" xr3:uid="{F827B629-B9AA-8E40-A426-9CCA0D3A2F49}" name="Bron 3 - type/link"/>
    <tableColumn id="10" xr3:uid="{70035E8E-FABC-B74A-B7D6-607E880B9AF7}" name="Actie"/>
    <tableColumn id="11" xr3:uid="{98885E9A-86CA-A54E-9258-88F764C0B322}" name="Eigenaar"/>
    <tableColumn id="12" xr3:uid="{B748BF76-602F-3147-BE56-630000266AB3}" name="Deadline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D42333-E60B-9847-A857-E09E863E6064}" name="CultCost02" displayName="CultCost02" ref="B74:V77" headerRowDxfId="392">
  <tableColumns count="21">
    <tableColumn id="1" xr3:uid="{CD7C5A31-92C7-9045-84D6-909850D6C540}" name="Energieverbruik en water" totalsRowLabel="Totaal" dataDxfId="391" totalsRowDxfId="390"/>
    <tableColumn id="2" xr3:uid="{77DED0C7-A39F-684A-BC47-9175CC6B43E2}" name="Eenheid" dataDxfId="389" totalsRowDxfId="388"/>
    <tableColumn id="3" xr3:uid="{D26FB7B7-2D30-D841-ABBE-C58DADF2B9A7}" name="Geen" totalsRowFunction="sum" dataDxfId="387"/>
    <tableColumn id="4" xr3:uid="{9A0FB695-3460-2A40-A940-E512E5F4DE38}" name="Waarde MAX" totalsRowFunction="sum" dataDxfId="386" totalsRowDxfId="385"/>
    <tableColumn id="5" xr3:uid="{E1C45C50-BB3D-EE4E-AD13-B5C95004968F}" name="Waarde GEM" totalsRowFunction="sum" dataDxfId="384" totalsRowDxfId="383"/>
    <tableColumn id="6" xr3:uid="{D2FFBAFE-78C3-C041-925E-65C664574665}" name="Waarde MIN" totalsRowFunction="sum" dataDxfId="382" totalsRowDxfId="381"/>
    <tableColumn id="7" xr3:uid="{AFD6524D-927D-CE40-9F6A-37BDD8004E0F}" name="Opmerkingen"/>
    <tableColumn id="8" xr3:uid="{5E0E336E-A4FA-624C-8249-5D8D43A1F73F}" name="Status beschrijving" dataDxfId="380"/>
    <tableColumn id="9" xr3:uid="{35DB1180-24C7-EA43-9665-F8AB7304EB50}" name="Status" dataDxfId="379"/>
    <tableColumn id="13" xr3:uid="{08F5F4C7-A894-E849-9CCF-0D5F2A8A1668}" name="Bron 1 - naam/jaar" dataDxfId="378"/>
    <tableColumn id="14" xr3:uid="{A5B201E8-B2D9-8D40-AC21-AB4646A2725A}" name="Bron 1 - waarde" dataDxfId="377"/>
    <tableColumn id="15" xr3:uid="{798D0A7A-F54B-5443-A9C6-DA795844C4A7}" name="Bron 1 - type/link"/>
    <tableColumn id="16" xr3:uid="{AB86A733-DCE5-FD49-A534-ECEF01E76307}" name="Bron 2 - naam/jaar"/>
    <tableColumn id="17" xr3:uid="{987E5DFB-146F-1C48-AD39-55B0A6BD5302}" name="Bron 2 - waarde" dataDxfId="376"/>
    <tableColumn id="18" xr3:uid="{A68A2E2C-46D0-124C-A82C-13DA639A70DC}" name="Bron 2 - type/link"/>
    <tableColumn id="19" xr3:uid="{E796D944-6FAC-6C48-8D4E-FCCE9CA24E80}" name="Bron 3 - naam/jaar"/>
    <tableColumn id="20" xr3:uid="{FBEDD8C7-4927-2745-83DA-8EAC476CA931}" name="Bron 3 - waarde" dataDxfId="375"/>
    <tableColumn id="21" xr3:uid="{BC3CD945-4EAA-C949-B417-9BE235DEC979}" name="Bron 3 - type/link" totalsRowFunction="count"/>
    <tableColumn id="10" xr3:uid="{0759B66B-B132-5747-8704-1D3DC992555A}" name="Actie"/>
    <tableColumn id="11" xr3:uid="{D319509A-FBEA-6F45-9693-DAC5D0DFD155}" name="Eigenaar"/>
    <tableColumn id="12" xr3:uid="{9A9E496A-D1E1-7E43-B323-226F65936F8F}" name="Deadline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7A20049-BED2-7949-81AC-108BCC48DAFE}" name="CultCost03" displayName="CultCost03" ref="B79:V81" headerRowDxfId="374">
  <tableColumns count="21">
    <tableColumn id="1" xr3:uid="{54702EA0-2CA4-6941-BF63-1911FBD6E74F}" name="Belastingen en verzekeringen" totalsRowLabel="Totaal" dataDxfId="373" totalsRowDxfId="372"/>
    <tableColumn id="2" xr3:uid="{2412BDA5-45D3-6A4B-AF00-1B2ACDC83607}" name="Eenheid" dataDxfId="371" totalsRowDxfId="370"/>
    <tableColumn id="3" xr3:uid="{9BC345FF-C99D-AA40-94EB-DB1C5E470327}" name="Geen" totalsRowFunction="sum" dataDxfId="369"/>
    <tableColumn id="4" xr3:uid="{2A9C6635-EA8A-D048-8648-D6B5C50CD080}" name="Waarde MAX" totalsRowFunction="sum" dataDxfId="368" totalsRowDxfId="367"/>
    <tableColumn id="5" xr3:uid="{4676144A-91B6-2B48-84C4-E18F24C99B2A}" name="Waarde GEM" totalsRowFunction="sum" dataDxfId="366" totalsRowDxfId="365"/>
    <tableColumn id="6" xr3:uid="{42665FA7-40BE-5B4C-99AB-78BC211A21BD}" name="Waarde MIN" totalsRowFunction="sum" dataDxfId="364" totalsRowDxfId="363"/>
    <tableColumn id="7" xr3:uid="{43CAF0CA-C6A4-6549-ABC3-A589E3FFB8B4}" name="Opmerkingen"/>
    <tableColumn id="8" xr3:uid="{25C311C5-810A-4B4F-A456-5EFA7577E818}" name="Status beschrijving"/>
    <tableColumn id="9" xr3:uid="{4DEEF81C-5B74-3C42-B809-3B9B7160AED4}" name="Status" dataDxfId="362"/>
    <tableColumn id="13" xr3:uid="{7D759DBB-2E7E-2440-8C01-9C6B11162D56}" name="Bron 1 - naam/jaar"/>
    <tableColumn id="14" xr3:uid="{D1F7DE15-2407-F546-B54A-B086DAC98143}" name="Bron 1 - waarde" dataDxfId="361"/>
    <tableColumn id="15" xr3:uid="{C773EF30-6444-4D4B-9851-36DF24CAE052}" name="Bron 1 - type/link"/>
    <tableColumn id="16" xr3:uid="{1024B061-F4AC-884F-BF64-CE1B9E7B63F3}" name="Bron 2 - naam/jaar"/>
    <tableColumn id="17" xr3:uid="{B0E3E12F-E8E4-044E-AC47-D9A846E5053F}" name="Bron 2 - waarde" dataDxfId="360"/>
    <tableColumn id="18" xr3:uid="{17EFB475-3008-0E40-B825-86302C79230A}" name="Bron 2 - type/link"/>
    <tableColumn id="19" xr3:uid="{E526877F-F323-4745-AF83-BF0BDCBE33EC}" name="Bron 3 - naam/jaar"/>
    <tableColumn id="20" xr3:uid="{2FF6DC3D-B0DD-8649-808B-A8260EF637EC}" name="Bron 3 - waarde" dataDxfId="359"/>
    <tableColumn id="21" xr3:uid="{F0F8F4AD-E86B-E047-B0A8-F7060946A614}" name="Bron 3 - type/link" totalsRowFunction="count"/>
    <tableColumn id="10" xr3:uid="{9D70951A-036B-4041-B73A-CFE6D73D4182}" name="Actie"/>
    <tableColumn id="11" xr3:uid="{E843180F-9CD3-654F-A3ED-C8D27CAE65D2}" name="Eigenaar"/>
    <tableColumn id="12" xr3:uid="{E1C9088B-4C8B-224A-8822-C73B0D4D2D3E}" name="Deadline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BD757F-87DE-1A4B-B414-1397AAD4D0B3}" name="Gewas0" displayName="Gewas0" ref="B187:V199" totalsRowShown="0" headerRowDxfId="358">
  <tableColumns count="21">
    <tableColumn id="1" xr3:uid="{832826F3-0BFA-0342-8C3E-1CCB70888BA9}" name="Grote lisdodde"/>
    <tableColumn id="2" xr3:uid="{610022F7-D019-2647-AED5-812D88B01FB4}" name="Eenheid" dataDxfId="357"/>
    <tableColumn id="3" xr3:uid="{758AC6D6-EC09-8240-BABC-FE7F7C701742}" name="Geen" dataDxfId="356"/>
    <tableColumn id="4" xr3:uid="{522F8D81-541D-3242-AA64-4D27376B1B69}" name="Waarde MAX" dataDxfId="355"/>
    <tableColumn id="5" xr3:uid="{9D986DB6-4492-C34E-9197-542EF9B25D46}" name="Waarde GEM" dataDxfId="354"/>
    <tableColumn id="6" xr3:uid="{7AEDB1A3-5133-CF4E-996C-579C5F2D5519}" name="Waarde MIN" dataDxfId="353"/>
    <tableColumn id="7" xr3:uid="{E33CE72D-1A74-974E-B3B9-231E99D98432}" name="Opmerkingen"/>
    <tableColumn id="8" xr3:uid="{9C52A660-F90A-4D42-AA72-AA95C815F291}" name="Status beschrijving"/>
    <tableColumn id="9" xr3:uid="{72BF2F9F-D0EF-5B46-BC60-58C6713620B5}" name="Status" dataDxfId="352"/>
    <tableColumn id="13" xr3:uid="{A5EE3126-A5F1-0142-8AB4-4F2FBEDCDFEC}" name="Bron 1 - naam/jaar"/>
    <tableColumn id="14" xr3:uid="{766DBDAC-AE55-9541-9987-D2E04F203DA3}" name="Bron 1 - waarde" dataDxfId="351"/>
    <tableColumn id="15" xr3:uid="{598E599D-FB6D-BE49-BFD8-8F79C7F76848}" name="Bron 1 - type/link"/>
    <tableColumn id="16" xr3:uid="{99494AF2-C031-4541-841B-E8BCB57AA961}" name="Bron 2 - naam/jaar"/>
    <tableColumn id="17" xr3:uid="{373CCE55-6ED4-4A4B-AF83-A346917DDC2E}" name="Bron 2 - waarde" dataDxfId="350"/>
    <tableColumn id="18" xr3:uid="{C6962779-EF94-FA40-B913-419663F624EF}" name="Bron 2 - type/link"/>
    <tableColumn id="19" xr3:uid="{055B9880-0FA6-6B4E-9C36-504E3625BD0D}" name="Bron 3 - naam/jaar"/>
    <tableColumn id="20" xr3:uid="{385560DF-2BB6-7C45-AF27-8B0E520D890E}" name="Bron 3 - waarde" dataDxfId="349"/>
    <tableColumn id="21" xr3:uid="{7E63F068-3593-5C4A-9B02-26C3DAF06A9E}" name="Bron 3 - type/link"/>
    <tableColumn id="10" xr3:uid="{B7912050-7575-DC44-84DF-9C502D1C894C}" name="Actie"/>
    <tableColumn id="11" xr3:uid="{4CFBF26C-EB1C-8D4B-BEF6-BF3C6B35CDF6}" name="Eigenaar"/>
    <tableColumn id="12" xr3:uid="{0D3994D9-5187-ED4B-A7BE-00214E73846B}" name="Deadline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6A241F-4C6F-4B42-9BC4-6B704693EB7C}" name="HarvestCost01" displayName="HarvestCost01" ref="B287:V296" totalsRowShown="0" headerRowDxfId="348">
  <tableColumns count="21">
    <tableColumn id="1" xr3:uid="{4B362A1D-8A55-3B42-83A9-3A30A4F023DE}" name="Oogst - tarief - Gehele plant/blad &amp; stengelmateriaal" dataDxfId="347"/>
    <tableColumn id="2" xr3:uid="{AE6E16FB-6783-8048-8590-975C19B18759}" name="Eenheid" dataDxfId="346"/>
    <tableColumn id="3" xr3:uid="{03146E5F-9E53-C542-84E7-2B9701F0DF10}" name="Geen" dataDxfId="345"/>
    <tableColumn id="4" xr3:uid="{4DD21856-C802-E141-BF7A-8C68F447232B}" name="Waarde MAX" dataDxfId="344"/>
    <tableColumn id="5" xr3:uid="{B4D31CD6-B646-7441-94F3-EA49A4A8D0D2}" name="Waarde GEM" dataDxfId="343"/>
    <tableColumn id="6" xr3:uid="{BCB93B64-59C6-8B44-93B3-B659168C6854}" name="Waarde MIN" dataDxfId="342"/>
    <tableColumn id="7" xr3:uid="{81B946E0-0734-664B-9187-C350FA476C88}" name="Opmerkingen"/>
    <tableColumn id="8" xr3:uid="{CAA43268-871F-1349-9155-6D100AD8B216}" name="Status beschrijving"/>
    <tableColumn id="9" xr3:uid="{463496DD-967C-E149-A68D-ECD1ED1CFA90}" name="Status" dataDxfId="341"/>
    <tableColumn id="13" xr3:uid="{818DCD9A-C5D2-BC4C-BB8B-BB867C5CE1C8}" name="Bron 1 - naam/jaar"/>
    <tableColumn id="14" xr3:uid="{B6930AAC-AE0F-8C46-AC31-F655031670D5}" name="Bron 1 - waarde" dataDxfId="340"/>
    <tableColumn id="15" xr3:uid="{0E2252D3-8C2A-A446-9BFA-48CCC94EB126}" name="Bron 1 - type/link"/>
    <tableColumn id="16" xr3:uid="{3AF78F0D-233D-0540-BD5B-64908403E7B3}" name="Bron 2 - naam/jaar"/>
    <tableColumn id="17" xr3:uid="{4C22F4C4-342C-B746-BACA-717E41ED8BD5}" name="Bron 2 - waarde" dataDxfId="339"/>
    <tableColumn id="18" xr3:uid="{645033D9-6983-6846-A7C8-9454373AB75E}" name="Bron 2 - type/link"/>
    <tableColumn id="19" xr3:uid="{624D42A1-94DF-2548-843C-06E8DAA3A377}" name="Bron 3 - naam/jaar"/>
    <tableColumn id="20" xr3:uid="{9CECBCC9-D226-B446-8BDE-86020EEFE92A}" name="Bron 3 - waarde" dataDxfId="338"/>
    <tableColumn id="21" xr3:uid="{FB14EFF8-AC47-F84C-8264-F837DAF3C651}" name="Bron 3 - type/link"/>
    <tableColumn id="10" xr3:uid="{61A4A553-B473-8548-92EA-38F768099394}" name="Actie"/>
    <tableColumn id="11" xr3:uid="{CD5742A4-B1DF-A54A-B1E1-0940A8E1FE63}" name="Eigenaar"/>
    <tableColumn id="12" xr3:uid="{B5D2DF8B-E564-E543-BB06-8CBED9411F3B}" name="Deadline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A7324DB-7F67-9944-ADE9-40F377BC38C4}" name="HarvestCost2" displayName="HarvestCost2" ref="B315:V321" totalsRowShown="0" headerRowDxfId="337">
  <tableColumns count="21">
    <tableColumn id="1" xr3:uid="{FB852B2B-185D-A842-BEB8-B2848E0D91FC}" name="Oogst - tarief - Zaden" dataDxfId="336"/>
    <tableColumn id="2" xr3:uid="{D231E06E-A94F-7647-A21D-B4B09C9F128F}" name="Eenheid" dataDxfId="335"/>
    <tableColumn id="3" xr3:uid="{1178F135-2C00-E44B-A1BC-F80830E8B6FA}" name="Geen" dataDxfId="334"/>
    <tableColumn id="4" xr3:uid="{DFD03C1C-19C4-F34E-BCE3-742F58926B18}" name="Waarde MAX" dataDxfId="333"/>
    <tableColumn id="5" xr3:uid="{73F90A71-F81B-734A-A501-537C276323F2}" name="Waarde GEM" dataDxfId="332"/>
    <tableColumn id="6" xr3:uid="{62C09447-15A1-7C42-98EF-F2AF3C9BFE8B}" name="Waarde MIN" dataDxfId="331"/>
    <tableColumn id="7" xr3:uid="{2B1D5D40-F25C-DE47-8F83-B9209B94411C}" name="Opmerkingen"/>
    <tableColumn id="8" xr3:uid="{F3EB494E-9429-6342-BDAE-8A9440C2D779}" name="Status beschrijving"/>
    <tableColumn id="9" xr3:uid="{0E541F3D-DE15-6F4E-B171-A9C960E83EF7}" name="Status" dataDxfId="330"/>
    <tableColumn id="13" xr3:uid="{F9471079-CFCD-024C-B010-99E11D65CED0}" name="Bron 1 - naam/jaar"/>
    <tableColumn id="14" xr3:uid="{2EFB97F9-06B3-9849-9AAD-A3D2A23A6CC9}" name="Bron 1 - waarde" dataDxfId="329"/>
    <tableColumn id="15" xr3:uid="{18C5F04B-C15B-254B-BE40-CEF7E836D082}" name="Bron 1 - type/link"/>
    <tableColumn id="16" xr3:uid="{A160EFDF-71B5-7949-8F31-E21FE213ED0A}" name="Bron 2 - naam/jaar"/>
    <tableColumn id="17" xr3:uid="{BC5A63BB-BD27-A741-8EC8-6A311DDB82E5}" name="Bron 2 - waarde" dataDxfId="328"/>
    <tableColumn id="18" xr3:uid="{9BD0A369-6F14-F745-A3FB-797AC458C97F}" name="Bron 2 - type/link"/>
    <tableColumn id="19" xr3:uid="{363D221A-122A-0D4A-947A-03D2D4C50BF1}" name="Bron 3 - naam/jaar"/>
    <tableColumn id="20" xr3:uid="{764478FF-7511-674D-96B5-0A0375F7B3D6}" name="Bron 3 - waarde" dataDxfId="327"/>
    <tableColumn id="21" xr3:uid="{3171922A-5CF6-A74A-95C4-A81EC489B987}" name="Bron 3 - type/link"/>
    <tableColumn id="10" xr3:uid="{A8593964-9EEC-3A4D-B9E5-3B6E8C259268}" name="Actie"/>
    <tableColumn id="11" xr3:uid="{E67295AA-7423-6D45-91A2-0C9B998C462A}" name="Eigenaar"/>
    <tableColumn id="12" xr3:uid="{7D2FD3F2-4E62-D140-AC54-837E91EFA68E}" name="Deadline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136A6A8-A82D-8F40-88E9-9AE36BF93A35}" name="HarvestCost11" displayName="HarvestCost11" ref="B309:V313" totalsRowCount="1" headerRowDxfId="326">
  <tableColumns count="21">
    <tableColumn id="1" xr3:uid="{F3B17E49-E6DE-034F-BD69-80CB72928373}" name="Veld &amp; opslaglogistiek - tarief - Gehele plant/blad &amp; stengelmateriaal" totalsRowLabel="Totaal" dataDxfId="325" totalsRowDxfId="324"/>
    <tableColumn id="2" xr3:uid="{96DC6F70-27B1-5F4D-AB86-EC90A2861D04}" name="Eenheid" dataDxfId="323" totalsRowDxfId="322"/>
    <tableColumn id="3" xr3:uid="{CFB2AD4D-AFD6-324C-9907-172E3173D53A}" name="Geen" totalsRowFunction="sum" dataDxfId="321" totalsRowDxfId="320"/>
    <tableColumn id="4" xr3:uid="{F9B8E572-C2BD-834E-9E99-F46CB9A634FE}" name="Waarde MAX" totalsRowFunction="sum" dataDxfId="319" totalsRowDxfId="318"/>
    <tableColumn id="5" xr3:uid="{3477977C-BD1F-F543-9AB0-4529C4BC4ACD}" name="Waarde GEM" totalsRowFunction="sum" dataDxfId="317" totalsRowDxfId="316"/>
    <tableColumn id="6" xr3:uid="{BC77184F-2851-3E47-B21F-35DFDE285EA3}" name="Waarde MIN" totalsRowFunction="sum" dataDxfId="315" totalsRowDxfId="314"/>
    <tableColumn id="7" xr3:uid="{7F3EB3B0-4BCD-DC45-B83C-B117A568ACDA}" name="Opmerkingen" dataDxfId="313"/>
    <tableColumn id="8" xr3:uid="{6D20A422-9F92-9B40-BDFD-10D7B0493FA7}" name="Status beschrijving" dataDxfId="312"/>
    <tableColumn id="9" xr3:uid="{03E4F62A-05FE-A945-B655-3BD0F328C361}" name="Status" dataDxfId="311" totalsRowDxfId="310"/>
    <tableColumn id="13" xr3:uid="{6E0E1C2F-BA0F-DB44-BB77-E702A34C59AC}" name="Bron 1 - naam/jaar" dataDxfId="309"/>
    <tableColumn id="14" xr3:uid="{5D19B272-D8D0-3340-9DDF-FC12B9A0D2C3}" name="Bron 1 - waarde" dataDxfId="308" totalsRowDxfId="307"/>
    <tableColumn id="15" xr3:uid="{2E8C1070-0047-8F4F-8FC2-CF8FE8D70C77}" name="Bron 1 - type/link"/>
    <tableColumn id="16" xr3:uid="{07C7D249-F68E-2E4D-A880-F5BD7F0C3594}" name="Bron 2 - naam/jaar"/>
    <tableColumn id="17" xr3:uid="{815E2582-0200-7347-B69F-44DB8BA13F7C}" name="Bron 2 - waarde" dataDxfId="306" totalsRowDxfId="305"/>
    <tableColumn id="18" xr3:uid="{6BA07058-184E-A84B-9E6E-205AEE7209E8}" name="Bron 2 - type/link"/>
    <tableColumn id="19" xr3:uid="{A183517A-A987-B542-A65D-4BA24103C497}" name="Bron 3 - naam/jaar"/>
    <tableColumn id="20" xr3:uid="{9CC92DA2-B2C6-7646-9DC1-ACD8B194665C}" name="Bron 3 - waarde" dataDxfId="304" totalsRowDxfId="303"/>
    <tableColumn id="21" xr3:uid="{1A520F2E-9579-CB4F-BEBB-4E02D87D6BD7}" name="Bron 3 - type/link"/>
    <tableColumn id="10" xr3:uid="{76D26CAA-F5EC-0648-A0B8-EE93CF742FAF}" name="Actie"/>
    <tableColumn id="11" xr3:uid="{5C69FB14-88C9-514B-84A0-D8FE62B5A561}" name="Eigenaar"/>
    <tableColumn id="12" xr3:uid="{84149005-EE7E-5648-890A-D6607E397514}" name="Deadline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C4C6D0C-13C6-7F47-A3AC-3A12112AD61A}" name="HarvestCost21" displayName="HarvestCost21" ref="B331:V335" totalsRowCount="1" headerRowDxfId="302">
  <tableColumns count="21">
    <tableColumn id="1" xr3:uid="{2D6C3133-E4C2-1049-9C98-71C45E5AF79E}" name="Veld &amp; opslaglogistiek - tarief - Zaden" totalsRowLabel="Totaal" dataDxfId="301" totalsRowDxfId="300"/>
    <tableColumn id="2" xr3:uid="{255718EF-9A21-634B-8757-7D0F89FE8B53}" name="Eenheid" dataDxfId="299" totalsRowDxfId="298"/>
    <tableColumn id="3" xr3:uid="{E0BBF4E1-5CF2-F34D-8607-10117DE66BEA}" name="Geen" totalsRowFunction="sum" dataDxfId="297" totalsRowDxfId="296"/>
    <tableColumn id="4" xr3:uid="{ABEB1FD8-BDAC-3D4B-9B18-9914B35E527D}" name="Waarde MAX" totalsRowFunction="sum" dataDxfId="295" totalsRowDxfId="294"/>
    <tableColumn id="5" xr3:uid="{8514C0ED-1EDC-6F42-A285-FE7A54C58E16}" name="Waarde GEM" totalsRowFunction="sum" dataDxfId="293" totalsRowDxfId="292"/>
    <tableColumn id="6" xr3:uid="{B14FCE21-4440-BA4C-9E9A-1287B32A3C85}" name="Waarde MIN" totalsRowFunction="sum" dataDxfId="291" totalsRowDxfId="290"/>
    <tableColumn id="7" xr3:uid="{2ADC72E2-1B44-4647-A29C-12207BB307D2}" name="Opmerkingen" dataDxfId="289"/>
    <tableColumn id="8" xr3:uid="{AAFD1F8E-A981-7844-B119-90AC21D9651F}" name="Status beschrijving" dataDxfId="288"/>
    <tableColumn id="9" xr3:uid="{5F598321-86A3-0B4D-9A47-378A8037F489}" name="Status" dataDxfId="287" totalsRowDxfId="286"/>
    <tableColumn id="13" xr3:uid="{FEF6208D-1CDB-DB4C-BD76-A4DBBC1AA2F9}" name="Bron 1 - naam/jaar" dataDxfId="285"/>
    <tableColumn id="14" xr3:uid="{CC0B9E90-CB20-4E4B-991B-0511778098AF}" name="Bron 1 - waarde" dataDxfId="284" totalsRowDxfId="283"/>
    <tableColumn id="15" xr3:uid="{F65D141F-958A-6A45-A69D-73D0D0AC72FB}" name="Bron 1 - type/link"/>
    <tableColumn id="16" xr3:uid="{3F080049-6486-3B47-BFFE-DFBCC567769F}" name="Bron 2 - naam/jaar"/>
    <tableColumn id="17" xr3:uid="{64FF946C-57D8-104C-9F5D-E964D646A9F6}" name="Bron 2 - waarde" dataDxfId="282" totalsRowDxfId="281"/>
    <tableColumn id="18" xr3:uid="{7788D22F-BF2F-614D-BAE2-FDE38EBE14D7}" name="Bron 2 - type/link"/>
    <tableColumn id="19" xr3:uid="{94B3AFB0-6A24-4547-A0E5-89591E66CF36}" name="Bron 3 - naam/jaar"/>
    <tableColumn id="20" xr3:uid="{2D92F039-F13C-0E4E-9185-E3F481FDDB46}" name="Bron 3 - waarde" dataDxfId="280" totalsRowDxfId="279"/>
    <tableColumn id="21" xr3:uid="{345A1C56-8A2D-3A40-B4AD-1C45A9F0545A}" name="Bron 3 - type/link"/>
    <tableColumn id="10" xr3:uid="{677F89A4-EC63-8F40-B110-649CBAE6AEE1}" name="Actie"/>
    <tableColumn id="11" xr3:uid="{164DED4C-D08C-2C47-8113-7F61E17D9692}" name="Eigenaar"/>
    <tableColumn id="12" xr3:uid="{16114709-FEAE-FA4A-B974-BC087E014886}" name="Deadline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53D25C6-5E4C-BA4D-8105-4C109D3EC937}" name="Stock1" displayName="Stock1" ref="B340:V346" totalsRowShown="0" headerRowDxfId="278">
  <tableColumns count="21">
    <tableColumn id="1" xr3:uid="{1810B57E-52F7-514C-BE5F-ACFFB0CC905E}" name="Bewaarmethode - Plant/blad &amp; stengelmateriaal" dataDxfId="277"/>
    <tableColumn id="2" xr3:uid="{B990850A-D03D-004F-BE1C-1B47E4E13208}" name="Eenheid" dataDxfId="276"/>
    <tableColumn id="3" xr3:uid="{83519E01-6506-1142-92F2-6C5799DD4CA8}" name="Geen" dataDxfId="275"/>
    <tableColumn id="4" xr3:uid="{DEC38779-7E4E-A442-A094-BF064584C307}" name="Waarde MAX" dataDxfId="274"/>
    <tableColumn id="5" xr3:uid="{2047D3D3-8315-0C41-8C30-103F28B5EB82}" name="Waarde GEM" dataDxfId="273"/>
    <tableColumn id="6" xr3:uid="{6F25A19E-0EE7-7448-8DBD-2355B925D9A1}" name="Waarde MIN" dataDxfId="272"/>
    <tableColumn id="7" xr3:uid="{06DEB3C9-767A-6840-9A87-F458CBA33AEE}" name="Opmerkingen"/>
    <tableColumn id="8" xr3:uid="{5E5BC66E-8D59-EE4E-B2A0-96D92733CF67}" name="Status beschrijving"/>
    <tableColumn id="9" xr3:uid="{A92434F1-13C2-7D4D-AC69-D4651A6FD01F}" name="Status" dataDxfId="271"/>
    <tableColumn id="13" xr3:uid="{F56C85C1-8984-7A45-9181-1DF03B2DD26C}" name="Bron 1 - naam/jaar"/>
    <tableColumn id="14" xr3:uid="{890A6441-7E43-C247-A6A7-F9CE850AC9EE}" name="Bron 1 - waarde" dataDxfId="270"/>
    <tableColumn id="15" xr3:uid="{8816F8D0-559D-2D41-929F-D187B84FA4F4}" name="Bron 1 - type/link"/>
    <tableColumn id="16" xr3:uid="{A2127DE3-57F7-5742-A035-BE1014E7FAEA}" name="Bron 2 - naam/jaar"/>
    <tableColumn id="17" xr3:uid="{123BB5D9-90AB-EB44-AF25-D869A7336F57}" name="Bron 2 - waarde" dataDxfId="269"/>
    <tableColumn id="18" xr3:uid="{8241A552-3922-7A47-B8D3-CE228B81E438}" name="Bron 2 - type/link"/>
    <tableColumn id="19" xr3:uid="{E214B2AC-5507-2D4F-B286-6399D817322B}" name="Bron 3 - naam/jaar"/>
    <tableColumn id="20" xr3:uid="{2C88DEF4-0839-6A4A-91D2-650FC9D84B23}" name="Bron 3 - waarde" dataDxfId="268"/>
    <tableColumn id="21" xr3:uid="{E5AE8E1A-7D8E-3D42-B230-894FE7BFC5A9}" name="Bron 3 - type/link"/>
    <tableColumn id="10" xr3:uid="{A9D02586-D11A-F449-B82B-48AB594E1CAA}" name="Actie"/>
    <tableColumn id="11" xr3:uid="{C8E4AFC0-F61A-E24F-86C5-6417E08CC771}" name="Eigenaar"/>
    <tableColumn id="12" xr3:uid="{21B4E762-80FA-1847-AFE1-EE18E7AB6498}" name="Deadline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733FB3-E232-694A-90A3-1AC2B0EF89F0}" name="Stock2" displayName="Stock2" ref="B363:V368" totalsRowShown="0" headerRowDxfId="267">
  <tableColumns count="21">
    <tableColumn id="1" xr3:uid="{C05F1E75-E664-7243-B913-F57A705A58EB}" name="Bewaarmethode - Zaden" dataDxfId="266"/>
    <tableColumn id="2" xr3:uid="{D70C269F-5EB4-1740-BC98-EB2C1C0360F8}" name="Eenheid" dataDxfId="265"/>
    <tableColumn id="3" xr3:uid="{D4210072-D50F-D44E-8271-347B4FFA980F}" name="Geen" dataDxfId="264"/>
    <tableColumn id="4" xr3:uid="{A54F200C-2A02-1B4E-9D75-EF814C460FFD}" name="Waarde MAX" dataDxfId="263"/>
    <tableColumn id="5" xr3:uid="{0FE43DA2-6FDC-0049-9138-59B6932EFE3F}" name="Waarde GEM" dataDxfId="262"/>
    <tableColumn id="6" xr3:uid="{8B7EC148-3187-D945-A3D7-E6173413335F}" name="Waarde MIN" dataDxfId="261"/>
    <tableColumn id="7" xr3:uid="{FF9E5BFC-6D23-F145-B1F5-7DB3B48BA056}" name="Opmerkingen"/>
    <tableColumn id="8" xr3:uid="{4DD78599-1F81-7843-80CD-2AE7C71A283B}" name="Status beschrijving"/>
    <tableColumn id="9" xr3:uid="{86EB5A70-531B-E449-80FF-E4990449667B}" name="Status" dataDxfId="260"/>
    <tableColumn id="13" xr3:uid="{C55C5F28-D259-7647-B71F-809CDD3C72D8}" name="Bron 1 - naam/jaar"/>
    <tableColumn id="14" xr3:uid="{512211C9-9C06-F544-8BB9-10A2BE9B0752}" name="Bron 1 - waarde" dataDxfId="259"/>
    <tableColumn id="15" xr3:uid="{3BA88D19-8E03-384E-9E71-9FE1ACB0B3F5}" name="Bron 1 - type/link"/>
    <tableColumn id="16" xr3:uid="{BAE12284-47CA-B84E-B27F-D806477F5F3A}" name="Bron 2 - naam/jaar"/>
    <tableColumn id="17" xr3:uid="{BE9760A4-D2E2-A943-A3D0-2CD2BF52F8FA}" name="Bron 2 - waarde" dataDxfId="258"/>
    <tableColumn id="18" xr3:uid="{3DF0C7C2-7416-454A-9352-24B9564A44EF}" name="Bron 2 - type/link"/>
    <tableColumn id="19" xr3:uid="{737CBBF0-D8A9-6A47-9B7A-AC4816818DC9}" name="Bron 3 - naam/jaar"/>
    <tableColumn id="20" xr3:uid="{52784C27-587D-AB45-B375-1E9E7D677365}" name="Bron 3 - waarde" dataDxfId="257"/>
    <tableColumn id="21" xr3:uid="{816D80C5-EEFD-2B4D-ADC0-6E5BF3E720E0}" name="Bron 3 - type/link"/>
    <tableColumn id="10" xr3:uid="{31BCE2DE-7307-164F-B1B5-E38611E3870D}" name="Actie"/>
    <tableColumn id="11" xr3:uid="{C34D97AD-E08D-CD48-981E-A90DC655E3C1}" name="Eigenaar"/>
    <tableColumn id="12" xr3:uid="{F6D1C7F6-D270-4949-ADAD-99346914D34F}" name="Deadline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1A46ED5-59CB-E944-9DC2-5466BD99B2E7}" name="Stock11" displayName="Stock11" ref="B348:V355" totalsRowShown="0" headerRowDxfId="256">
  <tableColumns count="21">
    <tableColumn id="1" xr3:uid="{49D06C66-8A73-F04B-BF31-183B4F0607C8}" name="Opslag - Plant/blad &amp; stengelmateriaal" dataDxfId="255"/>
    <tableColumn id="2" xr3:uid="{3F0078E8-DD1C-BF40-843E-0D4F3AB57F02}" name="Eenheid" dataDxfId="254"/>
    <tableColumn id="3" xr3:uid="{EFCA93C7-D5CB-4549-9356-0FC21BD57820}" name="Geen" dataDxfId="253"/>
    <tableColumn id="4" xr3:uid="{193323FC-AA19-2848-8D79-1101778DDFAB}" name="Waarde MAX" dataDxfId="252"/>
    <tableColumn id="5" xr3:uid="{53322705-D109-E943-8682-7BEDEB474D4A}" name="Waarde GEM" dataDxfId="251"/>
    <tableColumn id="6" xr3:uid="{38A40C3F-4DBF-7C43-BBB1-D4142EB305E3}" name="Waarde MIN" dataDxfId="250"/>
    <tableColumn id="7" xr3:uid="{9BC5B260-60BF-8E4D-8E56-F69752DB8302}" name="Opmerkingen"/>
    <tableColumn id="8" xr3:uid="{C43C4556-AF15-3745-9917-356E5527080C}" name="Status beschrijving"/>
    <tableColumn id="9" xr3:uid="{EDAD9E7F-4E1C-C24C-A361-1444B983B974}" name="Status" dataDxfId="249"/>
    <tableColumn id="13" xr3:uid="{1AFAECFF-C204-A84E-911A-939398027757}" name="Bron 1 - naam/jaar"/>
    <tableColumn id="14" xr3:uid="{076E6485-9AE4-924C-85C3-57DB74EF5E2D}" name="Bron 1 - waarde" dataDxfId="248"/>
    <tableColumn id="15" xr3:uid="{C2DF49F3-3F9C-794D-A53E-790EA9A69161}" name="Bron 1 - type/link"/>
    <tableColumn id="16" xr3:uid="{2C41E830-ADC1-BE4F-9CEB-410E19B8FDF6}" name="Bron 2 - naam/jaar"/>
    <tableColumn id="17" xr3:uid="{780AE203-1507-8E4C-9D94-796DD897383E}" name="Bron 2 - waarde" dataDxfId="247"/>
    <tableColumn id="18" xr3:uid="{A03918B7-C1CA-A64D-9D90-774BC5E04A95}" name="Bron 2 - type/link"/>
    <tableColumn id="19" xr3:uid="{E137DC48-ECCB-B145-8D76-715B9A9A17E0}" name="Bron 3 - naam/jaar"/>
    <tableColumn id="20" xr3:uid="{9223598D-E739-AD45-9366-309BC49C2791}" name="Bron 3 - waarde" dataDxfId="246"/>
    <tableColumn id="21" xr3:uid="{ABFBA837-07BF-A74E-83B4-487DF47779BE}" name="Bron 3 - type/link"/>
    <tableColumn id="10" xr3:uid="{02C703DA-A78C-E849-BAEF-3C2862F215B8}" name="Actie"/>
    <tableColumn id="11" xr3:uid="{C9E5F656-979A-FC42-A099-F16FFA417F24}" name="Eigenaar"/>
    <tableColumn id="12" xr3:uid="{1CF93D77-188E-EB42-9F6F-56D1EFE8EAF9}" name="Deadline"/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CFB1E60-5196-6C44-8BD6-118BD3E3E406}" name="Stock21" displayName="Stock21" ref="B375:V380" totalsRowShown="0" headerRowDxfId="245">
  <tableColumns count="21">
    <tableColumn id="1" xr3:uid="{AF22D253-7E20-B746-B280-324724E5B641}" name="Opslag - Zaden" dataDxfId="244"/>
    <tableColumn id="2" xr3:uid="{3D00BE39-BE1E-B74B-AA76-F4FBF2236F7B}" name="Eenheid" dataDxfId="243"/>
    <tableColumn id="3" xr3:uid="{747A4E74-6AE4-444D-B6EA-EF2F1DD8A3F9}" name="Geen" dataDxfId="242"/>
    <tableColumn id="4" xr3:uid="{9B1B7A31-9FAD-014F-AEB9-3848762AD46A}" name="Waarde MAX" dataDxfId="241"/>
    <tableColumn id="5" xr3:uid="{1CDF8A9D-264C-544A-8429-EA30E849FEFE}" name="Waarde GEM" dataDxfId="240"/>
    <tableColumn id="6" xr3:uid="{3B3DE0ED-3C4C-9540-945D-EDBD6A68ED05}" name="Waarde MIN" dataDxfId="239"/>
    <tableColumn id="7" xr3:uid="{A23408E2-AA77-C844-9C36-05196655979C}" name="Opmerkingen"/>
    <tableColumn id="8" xr3:uid="{2410B168-7665-0542-8ED5-3624BDF8144F}" name="Status beschrijving"/>
    <tableColumn id="9" xr3:uid="{9EF026BE-D87F-4247-8661-CB5B7C443702}" name="Status" dataDxfId="238"/>
    <tableColumn id="13" xr3:uid="{FA662176-795D-4346-9FA9-091A13710232}" name="Bron 1 - naam/jaar"/>
    <tableColumn id="14" xr3:uid="{50D28664-6DCA-BC4F-979F-410273B243F9}" name="Bron 1 - waarde" dataDxfId="237"/>
    <tableColumn id="15" xr3:uid="{AC285BC1-493D-D641-B97C-EE7AB731D38D}" name="Bron 1 - type/link"/>
    <tableColumn id="16" xr3:uid="{71D74BD0-E184-DA48-A68F-28FC010D57A1}" name="Bron 2 - naam/jaar"/>
    <tableColumn id="17" xr3:uid="{49F4E6CA-4255-4348-ACF1-CD68D9D9F0D3}" name="Bron 2 - waarde" dataDxfId="236"/>
    <tableColumn id="18" xr3:uid="{F436CC19-7779-CF43-A1BA-3224D06C8BBE}" name="Bron 2 - type/link"/>
    <tableColumn id="19" xr3:uid="{AF7D21FF-6A11-8E4A-AE85-9A7C9C360624}" name="Bron 3 - naam/jaar"/>
    <tableColumn id="20" xr3:uid="{E4F2C8C8-9434-6949-B26B-D33655D463A0}" name="Bron 3 - waarde" dataDxfId="235"/>
    <tableColumn id="21" xr3:uid="{BA0FA804-8072-9C4C-BD12-55004BE9920F}" name="Bron 3 - type/link"/>
    <tableColumn id="10" xr3:uid="{69611892-6EAD-6D4F-9783-F8E87E1F2DC5}" name="Actie"/>
    <tableColumn id="11" xr3:uid="{9A0D0BAD-DF0D-B34C-8C7D-586BD26B78D0}" name="Eigenaar"/>
    <tableColumn id="12" xr3:uid="{67FF9373-52F2-AE45-82F5-772CC471B58F}" name="Deadline"/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BEE762A-41BA-D440-8E11-F9C42A83ACF0}" name="ProcesCost01" displayName="ProcesCost01" ref="B387:V390" totalsRowShown="0" headerRowDxfId="234">
  <tableColumns count="21">
    <tableColumn id="1" xr3:uid="{5C674EB0-B1B0-1F4B-A751-E79191799000}" name="Transportkosten"/>
    <tableColumn id="2" xr3:uid="{88B28523-BD2D-4345-96D9-09F27B53566F}" name="Eenheid" dataDxfId="233"/>
    <tableColumn id="3" xr3:uid="{397100A7-81C0-B140-9D11-FE7530A331D4}" name="Geen"/>
    <tableColumn id="4" xr3:uid="{06D9324D-BE30-3F4A-80FE-ED31B0E0CF3F}" name="Waarde MAX" dataDxfId="232"/>
    <tableColumn id="5" xr3:uid="{741C1E9F-C0CA-144F-9A59-8DDC2CC4ADE8}" name="Waarde GEM" dataDxfId="231"/>
    <tableColumn id="6" xr3:uid="{F411DA94-92AB-5748-9507-7283657D035B}" name="Waarde MIN" dataDxfId="230"/>
    <tableColumn id="7" xr3:uid="{07FEB5EB-A26A-374A-A92C-3AA0DF52E656}" name="Opmerkingen"/>
    <tableColumn id="8" xr3:uid="{5149BBFC-AFC0-8748-AF62-F713E7208488}" name="Status beschrijving"/>
    <tableColumn id="9" xr3:uid="{26E40895-8285-3245-B4DB-E0EDA094BACF}" name="Status" dataDxfId="229"/>
    <tableColumn id="13" xr3:uid="{90D0D085-C2C4-AB45-8FC4-5E6018F0E764}" name="Bron 1 - naam/jaar"/>
    <tableColumn id="14" xr3:uid="{944DDC01-2DA2-C04B-8404-F5E6F8DF22CC}" name="Bron 1 - waarde" dataDxfId="228"/>
    <tableColumn id="15" xr3:uid="{880EEB9C-C0F5-5C42-BA10-D28FB2B7E83B}" name="Bron 1 - type/link"/>
    <tableColumn id="16" xr3:uid="{25F5EC41-9B7C-BE43-897A-E3C3E28075A3}" name="Bron 2 - naam/jaar"/>
    <tableColumn id="17" xr3:uid="{ADA28911-3FE8-B54D-8BA3-E29966C7CDDA}" name="Bron 2 - waarde" dataDxfId="227"/>
    <tableColumn id="18" xr3:uid="{ADF8128D-0A66-0B4F-811B-5F84E7E74560}" name="Bron 2 - type/link"/>
    <tableColumn id="19" xr3:uid="{374CE8AE-CD50-9B4D-A15A-354ADC229F99}" name="Bron 3 - naam/jaar"/>
    <tableColumn id="20" xr3:uid="{A5304C61-B924-AD47-B17E-93E1569844C4}" name="Bron 3 - waarde" dataDxfId="226"/>
    <tableColumn id="21" xr3:uid="{8CA2E4E9-D119-8345-808F-8E6E85211596}" name="Bron 3 - type/link"/>
    <tableColumn id="10" xr3:uid="{0CE92DCA-12DA-A047-8926-0CD594A571FA}" name="Actie"/>
    <tableColumn id="11" xr3:uid="{A0AE287A-3B3A-824F-AD50-59331AD16A3B}" name="Eigenaar"/>
    <tableColumn id="12" xr3:uid="{1F69E9F1-DAEF-994D-9F28-9C2B2963A504}" name="Deadlin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8C5C289-D647-DB46-ACE6-F6A0258527DE}" name="DryingCost1" displayName="DryingCost1" ref="B396:V403" totalsRowShown="0" headerRowDxfId="225">
  <tableColumns count="21">
    <tableColumn id="1" xr3:uid="{1DFD1765-FF02-0748-A71C-C079670F2AFB}" name="Drogen - Kosten" dataDxfId="224"/>
    <tableColumn id="2" xr3:uid="{44AB3869-B646-5346-8E14-A19B83A69B8B}" name="Eenheid" dataDxfId="223"/>
    <tableColumn id="3" xr3:uid="{8533BC2B-4820-0B47-A7E4-1CAB03A75DA7}" name="Geen"/>
    <tableColumn id="4" xr3:uid="{F8D3E39C-EBDE-ED4F-AE9F-CB3C65F1E01D}" name="Waarde MAX" dataDxfId="222"/>
    <tableColumn id="5" xr3:uid="{AB3751D4-F2BF-C143-9E8A-751C0CA03C1B}" name="Waarde GEM" dataDxfId="221"/>
    <tableColumn id="6" xr3:uid="{9BBC880D-1D46-7C44-9C79-46270E5BFA46}" name="Waarde MIN" dataDxfId="220"/>
    <tableColumn id="7" xr3:uid="{08B391E3-44A5-7B49-B506-31204D903CAD}" name="Opmerkingen"/>
    <tableColumn id="8" xr3:uid="{BA651B0F-C5C3-5A45-B6C6-C358C41E596E}" name="Status beschrijving"/>
    <tableColumn id="9" xr3:uid="{EEB0E9AB-82F2-BC4A-ADE0-32C4874F4F88}" name="Status" dataDxfId="219"/>
    <tableColumn id="13" xr3:uid="{7C75F895-8ACA-8942-8AF1-BA0245A0DF44}" name="Bron 1 - naam/jaar"/>
    <tableColumn id="14" xr3:uid="{6628A1C9-BB77-6D4E-B22B-010BAA2F82A7}" name="Bron 1 - waarde" dataDxfId="218"/>
    <tableColumn id="15" xr3:uid="{66F585E2-7D4C-744A-925B-1143D7FB9D2C}" name="Bron 1 - type/link"/>
    <tableColumn id="16" xr3:uid="{4D452C1E-A3F6-2B44-867E-AAD9C98CC9F8}" name="Bron 2 - naam/jaar"/>
    <tableColumn id="17" xr3:uid="{449B3A30-7C23-AC4E-A1BB-79AB1D6D8DCD}" name="Bron 2 - waarde" dataDxfId="217"/>
    <tableColumn id="18" xr3:uid="{B75F4655-8902-9841-8B43-30CE5048A767}" name="Bron 2 - type/link"/>
    <tableColumn id="19" xr3:uid="{A4F3906C-1F48-3F45-8601-97CA93C9125C}" name="Bron 3 - naam/jaar"/>
    <tableColumn id="20" xr3:uid="{183F332A-A5F9-9B4E-9378-C22E948C094A}" name="Bron 3 - waarde" dataDxfId="216"/>
    <tableColumn id="21" xr3:uid="{3A2AE472-108B-A04B-A4C6-E1C1378AFD94}" name="Bron 3 - type/link"/>
    <tableColumn id="10" xr3:uid="{13D43971-6598-0D41-9828-E10023C5A926}" name="Actie"/>
    <tableColumn id="11" xr3:uid="{2E26B7CA-24C5-1B4A-9A5C-37201718F4EA}" name="Eigenaar"/>
    <tableColumn id="12" xr3:uid="{75326AB5-D12B-7A43-8BB8-13D47DF814C1}" name="Deadline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ABF7547-F063-A741-9B84-99BDB6C20B49}" name="DryingCost11" displayName="DryingCost11" ref="B405:V412" totalsRowShown="0" headerRowDxfId="215">
  <tableColumns count="21">
    <tableColumn id="1" xr3:uid="{06A6CA89-AA72-A641-9ECD-4E10735D87EB}" name="Drogen - Producteffciency" dataDxfId="214">
      <calculatedColumnFormula>B397</calculatedColumnFormula>
    </tableColumn>
    <tableColumn id="2" xr3:uid="{E613066C-DC92-C24B-ADF1-0B77E4A39B6B}" name="Eenheid" dataDxfId="213"/>
    <tableColumn id="3" xr3:uid="{F22739EC-B052-AC45-AB21-AFB25B6E5367}" name="Geen"/>
    <tableColumn id="4" xr3:uid="{816D1DDC-920D-EC4B-9E36-22ABD287294D}" name="Waarde MAX" dataDxfId="212"/>
    <tableColumn id="5" xr3:uid="{92F9F9F3-F36C-6445-A4F8-0BDDC3FCD3CC}" name="Waarde GEM" dataDxfId="211"/>
    <tableColumn id="6" xr3:uid="{21A22981-33E7-604E-8451-6EDDFABBEA45}" name="Waarde MIN" dataDxfId="210"/>
    <tableColumn id="7" xr3:uid="{FF042341-8E0F-3F4F-925D-6E92ACC61534}" name="Opmerkingen"/>
    <tableColumn id="8" xr3:uid="{EDBC9DFD-440F-B64E-B414-F546F55F787A}" name="Status beschrijving"/>
    <tableColumn id="9" xr3:uid="{B4CC008D-9D28-064D-BBE6-DBD7B304EEAC}" name="Status" dataDxfId="209"/>
    <tableColumn id="13" xr3:uid="{D0CC2519-4857-A14A-9B81-8466C81AC3AB}" name="Bron 1 - naam/jaar"/>
    <tableColumn id="14" xr3:uid="{4A8F474A-910B-D047-9B86-2C1A837D51E6}" name="Bron 1 - waarde" dataDxfId="208"/>
    <tableColumn id="15" xr3:uid="{6BAA05F4-0C7C-084C-A4A0-BF9A7628BFC7}" name="Bron 1 - type/link"/>
    <tableColumn id="16" xr3:uid="{89B00D04-1C8F-2245-9A7B-8EEAFD8A2D4E}" name="Bron 2 - naam/jaar"/>
    <tableColumn id="17" xr3:uid="{0A1558E1-A8F1-7A4B-9777-F7AC9B08FEEB}" name="Bron 2 - waarde" dataDxfId="207"/>
    <tableColumn id="18" xr3:uid="{2F85456B-72FA-944B-A5D3-45A276946694}" name="Bron 2 - type/link"/>
    <tableColumn id="19" xr3:uid="{64CF3DD8-1DC6-074C-8C16-1D0F6CE3221E}" name="Bron 3 - naam/jaar"/>
    <tableColumn id="20" xr3:uid="{08DF874F-0FFA-D346-A6BC-35F0A8B03499}" name="Bron 3 - waarde" dataDxfId="206"/>
    <tableColumn id="21" xr3:uid="{B39EE910-6A98-5D48-8664-227194DEF7BA}" name="Bron 3 - type/link"/>
    <tableColumn id="10" xr3:uid="{C1A48010-0607-484B-B139-A23BD6CED98B}" name="Actie"/>
    <tableColumn id="11" xr3:uid="{61892C73-A5A4-8844-A890-0BEA76C85898}" name="Eigenaar"/>
    <tableColumn id="12" xr3:uid="{702DD95E-C9AA-3546-8916-1D0A46A81105}" name="Deadlin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F5C70DB-925F-9A44-952E-BCC0BADEC3FC}" name="StockBales" displayName="StockBales" ref="B357:V361" totalsRowShown="0" headerRowDxfId="205">
  <tableColumns count="21">
    <tableColumn id="1" xr3:uid="{6D572BFD-6AD4-F444-8E5C-46576EDEC548}" name="DS inhoud balen "/>
    <tableColumn id="2" xr3:uid="{CADEF449-1EB4-2946-B0B1-845F323CE1A8}" name="Eenheid"/>
    <tableColumn id="3" xr3:uid="{3FFADEE9-BA6F-A149-8250-FA498C933B95}" name="Geen"/>
    <tableColumn id="4" xr3:uid="{BDC128C5-F517-BE47-A80D-DC228ED277C6}" name="Waarde MAX" dataDxfId="204"/>
    <tableColumn id="5" xr3:uid="{2F3D8910-BEA7-D44D-ADEA-60808AC6A22D}" name="Waarde GEM" dataDxfId="203">
      <calculatedColumnFormula>126*1.47</calculatedColumnFormula>
    </tableColumn>
    <tableColumn id="6" xr3:uid="{DFB96093-84FD-D842-85AE-452BFA869C38}" name="Waarde MIN" dataDxfId="202"/>
    <tableColumn id="7" xr3:uid="{A76CCD98-B1D3-0846-B00A-07E1B5B8338E}" name="Opmerkingen"/>
    <tableColumn id="8" xr3:uid="{59E989A6-D9FB-544D-B6EA-E69B37C86555}" name="Status beschrijving"/>
    <tableColumn id="9" xr3:uid="{A2F921DB-F078-8F4E-992E-F3169B285A86}" name="Status" dataDxfId="201"/>
    <tableColumn id="10" xr3:uid="{00961F13-3DD3-674B-B603-E0BC363C5D2B}" name="Bron 1 - naam/jaar"/>
    <tableColumn id="11" xr3:uid="{B9D11C65-2D38-8544-8EBE-6FA6ACA979C5}" name="Bron 1 - waarde" dataDxfId="200"/>
    <tableColumn id="12" xr3:uid="{C6BF2090-3C50-7E42-AB36-247F1E0F356B}" name="Bron 1 - type/link"/>
    <tableColumn id="13" xr3:uid="{1288E2DF-3619-D446-89CC-A2ADC9E94C0A}" name="Bron 2 - naam/jaar"/>
    <tableColumn id="14" xr3:uid="{F8E680B1-B0F1-1C4E-8019-C4ADEA62E81A}" name="Bron 2 - waarde" dataDxfId="199"/>
    <tableColumn id="15" xr3:uid="{6DDD8DD1-4C36-1C49-8F0B-F78D1379AD83}" name="Bron 2 - type/link"/>
    <tableColumn id="16" xr3:uid="{68318AE9-6A23-8C43-B7EB-717FACABDF5B}" name="Bron 3 - naam/jaar"/>
    <tableColumn id="17" xr3:uid="{46294939-2632-CA45-8EAA-1BA8467F9072}" name="Bron 3 - waarde" dataDxfId="198"/>
    <tableColumn id="18" xr3:uid="{D12886E6-C273-5C47-B7D9-926352FA6B3D}" name="Bron 3 - type/link"/>
    <tableColumn id="19" xr3:uid="{94B86A4B-4E14-764E-9849-42828364B207}" name="Actie"/>
    <tableColumn id="20" xr3:uid="{96DED245-ADCC-0447-8440-D4D7C32C852C}" name="Eigenaar"/>
    <tableColumn id="21" xr3:uid="{7C6623BD-D345-D14E-987C-077E989282B4}" name="Deadline"/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6974763-AEC4-7C45-9B5E-F1F4E3A5962D}" name="StockPluis" displayName="StockPluis" ref="B370:V373" totalsRowShown="0" headerRowDxfId="197">
  <tableColumns count="21">
    <tableColumn id="1" xr3:uid="{A06B6D27-967F-CE4F-8E2C-68689E60A01E}" name="DS inhoud big bag"/>
    <tableColumn id="2" xr3:uid="{44112076-3233-1744-A7E9-D0265CE92A47}" name="Eenheid"/>
    <tableColumn id="3" xr3:uid="{281608ED-7813-5F43-B9C1-0D3F4E9BF3F5}" name="Geen" dataDxfId="196"/>
    <tableColumn id="4" xr3:uid="{B495F847-E552-304C-8381-4AFC9543FA62}" name="Waarde MAX" dataDxfId="195"/>
    <tableColumn id="5" xr3:uid="{44A838DE-D6F8-7C4E-8BF9-91B74080F51C}" name="Waarde GEM" dataDxfId="194"/>
    <tableColumn id="6" xr3:uid="{AFBEDA2B-1554-E44A-A260-E954442A2C44}" name="Waarde MIN" dataDxfId="193"/>
    <tableColumn id="7" xr3:uid="{208CFF19-29B5-F64A-B348-38868EA69941}" name="Opmerkingen"/>
    <tableColumn id="8" xr3:uid="{7E02A44A-F60D-3F41-B8C5-CC3AD30C4141}" name="Status beschrijving" dataDxfId="192"/>
    <tableColumn id="9" xr3:uid="{C09C3211-6779-6345-93B8-35A075208F0B}" name="Status" dataDxfId="191"/>
    <tableColumn id="10" xr3:uid="{0364CB1E-EA34-894D-9896-8EFEDB1B6B29}" name="Bron 1 - naam/jaar" dataDxfId="190"/>
    <tableColumn id="11" xr3:uid="{F5C7AB43-347B-5C4C-8C47-454A89902860}" name="Bron 1 - waarde" dataDxfId="189"/>
    <tableColumn id="12" xr3:uid="{BB151EBC-E048-594D-9B4D-A68966A20769}" name="Bron 1 - type/link"/>
    <tableColumn id="13" xr3:uid="{97CC9406-4CA6-3A43-AC09-E7ACBAB2D746}" name="Bron 2 - naam/jaar"/>
    <tableColumn id="14" xr3:uid="{DDF71CDA-6A6A-A240-B90E-08EED1DC9342}" name="Bron 2 - waarde" dataDxfId="188"/>
    <tableColumn id="15" xr3:uid="{18AA6B34-87F3-7347-8F72-FFB26248E2F5}" name="Bron 2 - type/link"/>
    <tableColumn id="16" xr3:uid="{90C25641-78D8-EC43-A161-E8FA22F69942}" name="Bron 3 - naam/jaar"/>
    <tableColumn id="17" xr3:uid="{557B2133-0154-CF4A-8E06-238BA8B2A480}" name="Bron 3 - waarde" dataDxfId="187"/>
    <tableColumn id="18" xr3:uid="{33FFB940-FA0D-0C42-81F9-A65A9EB36C4F}" name="Bron 3 - type/link"/>
    <tableColumn id="19" xr3:uid="{919E8176-1433-944F-830A-02CDD541B5B3}" name="Actie"/>
    <tableColumn id="20" xr3:uid="{4393B282-7DAD-734D-8ABE-D0F1F12B5D62}" name="Eigenaar"/>
    <tableColumn id="21" xr3:uid="{B1F18A6B-0197-2944-B750-D44B16A1C2FA}" name="Deadline"/>
  </tableColumns>
  <tableStyleInfo name="TableStyleMedium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D2F7F8-FC4B-0641-9C51-CE1E88367400}" name="VoorDroog" displayName="VoorDroog" ref="B382:V383" totalsRowShown="0" headerRowDxfId="186">
  <tableColumns count="21">
    <tableColumn id="1" xr3:uid="{172FB5E5-8358-474D-8693-C44087DDB042}" name="Voordrogen" dataDxfId="185"/>
    <tableColumn id="2" xr3:uid="{D57E73E4-4C5D-7648-B504-99E59AC4FAF0}" name="Eenheid" dataDxfId="184"/>
    <tableColumn id="3" xr3:uid="{86783B93-A8DF-6147-8C2E-43BAE18839AF}" name="Geen" dataDxfId="183"/>
    <tableColumn id="4" xr3:uid="{7A76B6E0-5E8F-D043-85BF-E87659C45FE7}" name="Waarde MAX" dataDxfId="182"/>
    <tableColumn id="5" xr3:uid="{6A309F30-DD2F-9344-802E-EA7E1C24DF4B}" name="Waarde GEM" dataDxfId="181"/>
    <tableColumn id="6" xr3:uid="{C798069C-6635-F643-9ECE-216661031A50}" name="Waarde MIN" dataDxfId="180"/>
    <tableColumn id="7" xr3:uid="{533B9BF2-BE16-2F4B-B8EE-0CE1E0771114}" name="Opmerkingen"/>
    <tableColumn id="8" xr3:uid="{CE3D7787-3B00-394B-89EA-7CEC32D98B61}" name="Status beschrijving"/>
    <tableColumn id="9" xr3:uid="{E22E9E70-31EA-CB4C-A0BC-0BDDAE1FF305}" name="Status" dataDxfId="179"/>
    <tableColumn id="10" xr3:uid="{D332E38F-16CC-3448-9172-230020749FDE}" name="Bron 1 - naam/jaar"/>
    <tableColumn id="11" xr3:uid="{58CA0BB9-33CA-3E40-BC18-E0C05B375B39}" name="Bron 1 - waarde" dataDxfId="178"/>
    <tableColumn id="12" xr3:uid="{7831B7B3-925A-EB4E-823F-CCF90F6595FB}" name="Bron 1 - type/link"/>
    <tableColumn id="13" xr3:uid="{E383B758-CC38-8449-9C6F-9D73D1B89DB8}" name="Bron 2 - naam/jaar"/>
    <tableColumn id="14" xr3:uid="{B15CC4F3-3A24-5240-B1E8-3141C5AD1540}" name="Bron 2 - waarde" dataDxfId="177"/>
    <tableColumn id="15" xr3:uid="{3AE78587-1D75-BB40-91AE-58D9119F3C73}" name="Bron 2 - type/link"/>
    <tableColumn id="16" xr3:uid="{B997DE9B-4CC3-D04F-BB36-A992945A53CC}" name="Bron 3 - naam/jaar"/>
    <tableColumn id="17" xr3:uid="{45D1F7E8-5D9B-214C-8413-68AF537D2D6B}" name="Bron 3 - waarde" dataDxfId="176"/>
    <tableColumn id="18" xr3:uid="{C2A4B225-B7FB-0A49-A34E-57D05F92EF9D}" name="Bron 3 - type/link"/>
    <tableColumn id="19" xr3:uid="{F51B6135-D20A-5743-9ECA-8B766D19C8F2}" name="Actie"/>
    <tableColumn id="20" xr3:uid="{9AED2F58-6387-4440-8C93-252A39328A13}" name="Eigenaar"/>
    <tableColumn id="21" xr3:uid="{D6C92BEF-79A0-4448-B807-7775EB5B9DF5}" name="Deadline"/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DF6F3CD-AD5D-F749-9EA8-4F0213083A63}" name="Tabel32" displayName="Tabel32" ref="B392:B394" totalsRowShown="0">
  <tableColumns count="1">
    <tableColumn id="1" xr3:uid="{67122B0B-D16E-174A-B052-5B2BB4549C3F}" name="Keuze droogstap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1E6C545-604D-394F-BDA9-8E5C9745ABCB}" name="PachtPrijs" displayName="PachtPrijs" ref="B6:V20" totalsRowShown="0" headerRowDxfId="175">
  <tableColumns count="21">
    <tableColumn id="1" xr3:uid="{2D4023A9-ECA3-BA46-AD43-22A08097D709}" name="Pachtprijs - per regio" dataDxfId="174"/>
    <tableColumn id="2" xr3:uid="{2680948B-027C-944D-95FC-7A5B7FE645FE}" name="Eenheid" dataDxfId="173"/>
    <tableColumn id="4" xr3:uid="{E0F9DC1D-F4A6-3241-9475-FCE689A85C28}" name="Regionorm 2020" dataDxfId="172"/>
    <tableColumn id="3" xr3:uid="{DA40A69D-9819-5742-8FAD-9C8923D6BB0F}" name="Kolom1" dataDxfId="171"/>
    <tableColumn id="5" xr3:uid="{5F2F095A-E356-4048-B2FC-5241C64E165C}" name="Kolom2" dataDxfId="170"/>
    <tableColumn id="6" xr3:uid="{B8798B9B-5F6A-3B47-B906-7DD5CF2C3C8F}" name="Kolom3" dataDxfId="169"/>
    <tableColumn id="7" xr3:uid="{078F1B80-6BDD-F640-9791-6DA8DCD4601F}" name="Opmerkingen"/>
    <tableColumn id="8" xr3:uid="{906C9936-D3C9-C546-83F7-338B07748790}" name="Status beschrijving"/>
    <tableColumn id="9" xr3:uid="{C0EC6C69-8461-684D-B049-A09A639FF870}" name="Status" dataDxfId="168"/>
    <tableColumn id="10" xr3:uid="{3BB256CC-D5B1-754F-949F-131AFA9EFA2B}" name="Bron 1 - naam/jaar"/>
    <tableColumn id="11" xr3:uid="{88D82BF8-5F57-B046-9A64-70A2CF2203FA}" name="Bron 1 - waarde" dataDxfId="167"/>
    <tableColumn id="12" xr3:uid="{1DDCD3CD-6F65-4245-88F3-0D5B13021751}" name="Bron 1 - type/link"/>
    <tableColumn id="13" xr3:uid="{3D46DA92-0850-444C-975A-818ABD98B4D6}" name="Bron 2 - naam/jaar"/>
    <tableColumn id="14" xr3:uid="{75F202B5-57A8-AC4C-891F-015293D5A078}" name="Bron 2 - waarde" dataDxfId="166"/>
    <tableColumn id="15" xr3:uid="{F03B5AAD-65B4-FF40-A30E-B3CF1F3C41B2}" name="Bron 2 - type/link"/>
    <tableColumn id="16" xr3:uid="{0E39ACC3-FAE1-B94B-91B0-C417769B1EE7}" name="Bron 3 - naam/jaar"/>
    <tableColumn id="17" xr3:uid="{91C43FB0-F374-224F-A2B6-26462203447E}" name="Bron 3 - waarde" dataDxfId="165"/>
    <tableColumn id="18" xr3:uid="{19E71A8A-BE46-6241-8783-8FC0A6210060}" name="Bron 3 - type/link"/>
    <tableColumn id="19" xr3:uid="{D48C6E4B-6401-584F-9E8F-AB05C7D4C17E}" name="Actie"/>
    <tableColumn id="20" xr3:uid="{6CA4E9BA-1A1A-9D4C-AFFD-EF60C243C8DA}" name="Eigenaar"/>
    <tableColumn id="21" xr3:uid="{BFA016D2-4E61-4044-9528-A7FDD56E7E59}" name="Deadline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CE94F44-4E21-4149-B4CF-EB44B5A05F28}" name="Tabel37" displayName="Tabel37" ref="B414:V416" totalsRowShown="0" headerRowDxfId="164">
  <tableColumns count="21">
    <tableColumn id="1" xr3:uid="{BC60C7E8-86AD-0741-AF3E-DFD1D54D2F37}" name="Kosten verwerking reststroom" dataDxfId="163"/>
    <tableColumn id="2" xr3:uid="{5D22D7D4-5D72-F342-A10F-AB646B8CAA6A}" name="Eenheid" dataDxfId="162"/>
    <tableColumn id="3" xr3:uid="{4855FDC1-68F3-8A43-B229-C64458DF4210}" name="Geen" dataDxfId="161"/>
    <tableColumn id="4" xr3:uid="{56D04ABE-157C-4340-B423-C1934645B239}" name="Waarde MAX" dataDxfId="160"/>
    <tableColumn id="5" xr3:uid="{F7B31D90-58B8-D34A-8F6C-FCCBC64D0A14}" name="Waarde GEM" dataDxfId="159"/>
    <tableColumn id="6" xr3:uid="{F91C73C6-B759-FB45-BAEE-85EC6C882D83}" name="Waarde MIN" dataDxfId="158"/>
    <tableColumn id="7" xr3:uid="{A516A664-5DA5-084B-AB08-105C4E26EB0C}" name="Opmerkingen"/>
    <tableColumn id="8" xr3:uid="{D2A86823-47F9-5646-B8DC-906DB00921F1}" name="Status beschrijving"/>
    <tableColumn id="9" xr3:uid="{F5DF426A-EAEC-EA4A-BB33-2081C3672C20}" name="Status" dataDxfId="157"/>
    <tableColumn id="10" xr3:uid="{13922B27-1B3F-6445-B757-095BEA783A10}" name="Bron 1 - naam/jaar"/>
    <tableColumn id="11" xr3:uid="{138195DD-E90E-0B43-9EF7-6B0DF557294F}" name="Bron 1 - waarde" dataDxfId="156"/>
    <tableColumn id="12" xr3:uid="{BABBF420-8FEF-6A43-9730-2FD0E3A0A808}" name="Bron 1 - type/link"/>
    <tableColumn id="13" xr3:uid="{0C9F708E-72D9-9944-99D2-7C487E993FD3}" name="Bron 2 - naam/jaar"/>
    <tableColumn id="14" xr3:uid="{AF9E8BF7-9B64-8B40-89A9-434C18A44CCA}" name="Bron 2 - waarde" dataDxfId="155"/>
    <tableColumn id="15" xr3:uid="{B89F2454-B8EE-B049-AFA2-946F1B569931}" name="Bron 2 - type/link"/>
    <tableColumn id="16" xr3:uid="{4E844182-19C2-2741-AB27-BE0D8640CF28}" name="Bron 3 - naam/jaar"/>
    <tableColumn id="17" xr3:uid="{1D4CC103-C651-264C-A6F0-40EB835A21FB}" name="Bron 3 - waarde" dataDxfId="154"/>
    <tableColumn id="18" xr3:uid="{9070B588-2752-0541-829A-91F2589AE721}" name="Bron 3 - type/link"/>
    <tableColumn id="19" xr3:uid="{D2EA5415-2E0B-6549-85CB-745BCDE4960B}" name="Actie"/>
    <tableColumn id="20" xr3:uid="{AB5C73C7-BE1B-0347-8BF6-443D88D6D1EC}" name="Eigenaar"/>
    <tableColumn id="21" xr3:uid="{60B56C40-A2FB-9842-9C47-4F9865FD3C34}" name="Deadlin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74E6086-50B3-47BC-8C8C-A3C5079E30E1}" name="HarvestCost0137" displayName="HarvestCost0137" ref="B298:V307" totalsRowShown="0" headerRowDxfId="153">
  <tableColumns count="21">
    <tableColumn id="1" xr3:uid="{04E4221C-6852-4EB1-86BF-256CE2CEE19F}" name="Oogst - uren per ha - Gehele plant/blad &amp; stengelmateriaal" dataDxfId="152">
      <calculatedColumnFormula>B288</calculatedColumnFormula>
    </tableColumn>
    <tableColumn id="2" xr3:uid="{2780B3D1-887D-4BFF-A6F6-E246884B8534}" name="Eenheid" dataDxfId="151"/>
    <tableColumn id="3" xr3:uid="{0115075F-7710-43BB-B867-F60329789508}" name="Geen" dataDxfId="150"/>
    <tableColumn id="4" xr3:uid="{E5F19F64-C703-46A2-B204-1F81D4ABD35D}" name="Waarde MAX" dataDxfId="149"/>
    <tableColumn id="5" xr3:uid="{5E3E8A5A-5FFE-46A5-BEC5-9C45E0890C2A}" name="Waarde GEM" dataDxfId="148"/>
    <tableColumn id="6" xr3:uid="{C6BD8AC5-52E5-463F-9BEE-5C9F47A3E0E9}" name="Waarde MIN" dataDxfId="147"/>
    <tableColumn id="7" xr3:uid="{2CC9E600-AABB-4462-A740-15CE227AC648}" name="Opmerkingen"/>
    <tableColumn id="8" xr3:uid="{44866ED3-5748-460B-8262-6904655474CD}" name="Status beschrijving"/>
    <tableColumn id="9" xr3:uid="{721656B4-DA1E-41C3-A3E0-884577B89AE1}" name="Status" dataDxfId="146"/>
    <tableColumn id="13" xr3:uid="{0594D983-5C4B-4C02-90BE-6108F3CDF4A2}" name="Bron 1 - naam/jaar"/>
    <tableColumn id="14" xr3:uid="{CADF45A0-9F6F-451D-92C3-1280D1EF746A}" name="Bron 1 - waarde" dataDxfId="145"/>
    <tableColumn id="15" xr3:uid="{06752488-4D51-473A-B2C4-6C23913F5A1B}" name="Bron 1 - type/link"/>
    <tableColumn id="16" xr3:uid="{E380754D-F28D-4CF6-8E6F-09E9007DD4B7}" name="Bron 2 - naam/jaar"/>
    <tableColumn id="17" xr3:uid="{72E344BB-680D-4AE7-B195-557915BB2283}" name="Bron 2 - waarde" dataDxfId="144"/>
    <tableColumn id="18" xr3:uid="{D4309EE9-2C60-4827-9906-E61124F41C70}" name="Bron 2 - type/link"/>
    <tableColumn id="19" xr3:uid="{59CDD59D-7FF9-4E10-9DF3-4E48F767B5E6}" name="Bron 3 - naam/jaar"/>
    <tableColumn id="20" xr3:uid="{C5000363-64B6-40E6-B995-4A947D249D04}" name="Bron 3 - waarde" dataDxfId="143"/>
    <tableColumn id="21" xr3:uid="{94CC46A6-0E15-4C8C-8CE2-1BF06ADA1281}" name="Bron 3 - type/link"/>
    <tableColumn id="10" xr3:uid="{BEA3475D-1186-4066-AE34-16B6AD56F866}" name="Actie"/>
    <tableColumn id="11" xr3:uid="{F241623F-B452-46CB-AD06-1F2284245477}" name="Eigenaar"/>
    <tableColumn id="12" xr3:uid="{D1C55B28-E619-4E46-8A0B-E98FE2C71C3B}" name="Deadline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4890A56-6475-4243-82F3-3165F51E8004}" name="HarvestCost244" displayName="HarvestCost244" ref="B323:V329" totalsRowShown="0" headerRowDxfId="142">
  <tableColumns count="21">
    <tableColumn id="1" xr3:uid="{C2D95BF8-B700-4299-9E04-36CF986B1347}" name="Oogst - uren per ha - Zaden" dataDxfId="141"/>
    <tableColumn id="2" xr3:uid="{D3845DE2-1A27-4833-940A-9E856A3D9B15}" name="Eenheid" dataDxfId="140"/>
    <tableColumn id="3" xr3:uid="{34B5FE00-F49F-48AB-B322-E680E1A8EB93}" name="Geen" dataDxfId="139"/>
    <tableColumn id="4" xr3:uid="{BFD15F9D-1FFE-4C10-9CC7-82488D2C341F}" name="Waarde MAX" dataDxfId="138"/>
    <tableColumn id="5" xr3:uid="{4BDC7D1B-4AFB-4ECA-9067-15EE91939133}" name="Waarde GEM" dataDxfId="137"/>
    <tableColumn id="6" xr3:uid="{87C72F97-5197-4E69-8B14-960B3C0DC4D8}" name="Waarde MIN" dataDxfId="136"/>
    <tableColumn id="7" xr3:uid="{11A69FB1-B00D-4BF0-89CC-5397823495DC}" name="Opmerkingen"/>
    <tableColumn id="8" xr3:uid="{4BDE3B15-A664-47EE-98E1-BE52B9084EFD}" name="Status beschrijving"/>
    <tableColumn id="9" xr3:uid="{372A9556-4360-4960-B081-CA01B163A88A}" name="Status" dataDxfId="135"/>
    <tableColumn id="13" xr3:uid="{6D653421-B5C0-4929-B9E6-C01F76DDFAA3}" name="Bron 1 - naam/jaar"/>
    <tableColumn id="14" xr3:uid="{67AA410C-DF19-4191-BD45-0F460991D00E}" name="Bron 1 - waarde" dataDxfId="134"/>
    <tableColumn id="15" xr3:uid="{2B799E31-ABCF-4176-A1D9-93762941CDE8}" name="Bron 1 - type/link"/>
    <tableColumn id="16" xr3:uid="{2655D0FE-3398-49EE-A885-9EC0BB3999A3}" name="Bron 2 - naam/jaar"/>
    <tableColumn id="17" xr3:uid="{44A84F02-0823-4C5C-AC77-D8B7FF3D9EB9}" name="Bron 2 - waarde" dataDxfId="133"/>
    <tableColumn id="18" xr3:uid="{E7795675-E0DA-4FC5-8C88-09BB90A195AC}" name="Bron 2 - type/link"/>
    <tableColumn id="19" xr3:uid="{AF2B9AB8-5967-42DD-BB76-2B95CE4C22CE}" name="Bron 3 - naam/jaar"/>
    <tableColumn id="20" xr3:uid="{FD73F7B7-9069-49FF-B653-434980CF210F}" name="Bron 3 - waarde" dataDxfId="132"/>
    <tableColumn id="21" xr3:uid="{D8F51C14-EC9F-4695-80BC-F4535AE27960}" name="Bron 3 - type/link"/>
    <tableColumn id="10" xr3:uid="{09629263-83E5-4AE0-92EB-82E09458FD27}" name="Actie"/>
    <tableColumn id="11" xr3:uid="{7136C32A-C63B-4002-8CD5-13F11958418F}" name="Eigenaar"/>
    <tableColumn id="12" xr3:uid="{7151D146-3573-47BC-B518-E3B0ECE1B2AA}" name="Deadline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9E5FDE1-E750-F748-9023-D022464253FC}" name="Tabel46" displayName="Tabel46" ref="B41:B43" totalsRowShown="0" headerRowDxfId="131" dataDxfId="130">
  <autoFilter ref="B41:B43" xr:uid="{39E5FDE1-E750-F748-9023-D022464253FC}">
    <filterColumn colId="0" hiddenButton="1"/>
  </autoFilter>
  <tableColumns count="1">
    <tableColumn id="1" xr3:uid="{340F3F5B-535D-0E41-976F-692C53F7CD60}" name="Planten of zaaien" dataDxfId="129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AB3118D-CFE7-344A-ABFF-EC7372607F3F}" name="Gewas059" displayName="Gewas059" ref="B201:V213" totalsRowShown="0" headerRowDxfId="128">
  <tableColumns count="21">
    <tableColumn id="1" xr3:uid="{94B79E2E-0665-4242-B80A-58BB2AA18596}" name="Kleine lisdodde"/>
    <tableColumn id="2" xr3:uid="{AF046B48-3420-CC49-9DDF-3D74C3B9CA31}" name="Eenheid" dataDxfId="127"/>
    <tableColumn id="3" xr3:uid="{EA4006C0-D1CB-8148-8642-F1242D880E4C}" name="Geen" dataDxfId="126"/>
    <tableColumn id="4" xr3:uid="{518E6344-90B1-8E40-BBBB-8B81A835EB78}" name="Waarde MAX" dataDxfId="125"/>
    <tableColumn id="5" xr3:uid="{0F2E91E5-3151-7E49-BCDA-C96013D9344A}" name="Waarde GEM" dataDxfId="124"/>
    <tableColumn id="6" xr3:uid="{E02B1A24-0EA6-184A-9514-B0FBC905D5F1}" name="Waarde MIN" dataDxfId="123"/>
    <tableColumn id="7" xr3:uid="{0EB63F00-7091-B445-9ACE-5DD13654A3B3}" name="Opmerkingen"/>
    <tableColumn id="8" xr3:uid="{8740C317-0989-C74C-9AC8-0F28A144CA1E}" name="Status beschrijving"/>
    <tableColumn id="9" xr3:uid="{B2200354-1B4C-5B46-8823-01BB627A6F95}" name="Status" dataDxfId="122"/>
    <tableColumn id="13" xr3:uid="{D75EC14D-5836-B147-809B-8532D11F7EED}" name="Bron 1 - naam/jaar"/>
    <tableColumn id="14" xr3:uid="{E96D7A52-DDBA-7942-A259-397DB35A5E48}" name="Bron 1 - waarde" dataDxfId="121"/>
    <tableColumn id="15" xr3:uid="{4946160D-3FFD-8642-9986-015C20D6045E}" name="Bron 1 - type/link"/>
    <tableColumn id="16" xr3:uid="{999BCD15-4898-4F4B-8329-E6B5A59762B3}" name="Bron 2 - naam/jaar"/>
    <tableColumn id="17" xr3:uid="{D841C6C7-04C7-644C-B8D5-EF405554E016}" name="Bron 2 - waarde" dataDxfId="120"/>
    <tableColumn id="18" xr3:uid="{F2088E4E-28A7-3C4B-BD29-12D88ADB8AD8}" name="Bron 2 - type/link"/>
    <tableColumn id="19" xr3:uid="{17240B25-2940-C74E-9A4D-79D4B0F337B3}" name="Bron 3 - naam/jaar"/>
    <tableColumn id="20" xr3:uid="{0D1FB972-9B64-5340-8A1A-960FBAAA5F96}" name="Bron 3 - waarde" dataDxfId="119"/>
    <tableColumn id="21" xr3:uid="{6B0D3149-6060-AA48-9942-DA5D2B740EDB}" name="Bron 3 - type/link"/>
    <tableColumn id="10" xr3:uid="{F251EEFB-85E5-024A-819C-16BFD3E09CD9}" name="Actie"/>
    <tableColumn id="11" xr3:uid="{892AF348-E806-7E4D-AFED-E0CBF599F399}" name="Eigenaar"/>
    <tableColumn id="12" xr3:uid="{BDBC2F48-986E-2D45-B572-73CF5BC084B0}" name="Deadline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5828CB2-D77A-0844-84E9-35988424977D}" name="Gewas05960" displayName="Gewas05960" ref="B215:V227" totalsRowShown="0" headerRowDxfId="118">
  <tableColumns count="21">
    <tableColumn id="1" xr3:uid="{3A69CF63-99D7-AA4D-9835-27D9B52EBC62}" name="Hennep"/>
    <tableColumn id="2" xr3:uid="{6F493B19-7822-9A4F-A916-CEFAEE50DAAB}" name="Eenheid" dataDxfId="117"/>
    <tableColumn id="3" xr3:uid="{CFA7427B-2F1C-6144-A112-E26A9D283B65}" name="Geen" dataDxfId="116"/>
    <tableColumn id="4" xr3:uid="{89502468-2CDB-3045-9FC8-13E54B4D3743}" name="Waarde MAX" dataDxfId="115"/>
    <tableColumn id="5" xr3:uid="{C356120D-4DEA-C443-8AD0-62E45FB2F61D}" name="Waarde GEM" dataDxfId="114"/>
    <tableColumn id="6" xr3:uid="{4929E86F-1861-D848-8A51-A2CE01BA9FA9}" name="Waarde MIN" dataDxfId="113"/>
    <tableColumn id="7" xr3:uid="{FB13324D-D4B4-6247-8190-888E8895BDEF}" name="Opmerkingen"/>
    <tableColumn id="8" xr3:uid="{E2838B87-B431-D94B-BF12-F082C620EBC0}" name="Status beschrijving"/>
    <tableColumn id="9" xr3:uid="{7F1BE768-BD9E-944A-9504-C88BA7ED99C5}" name="Status" dataDxfId="112"/>
    <tableColumn id="13" xr3:uid="{6BB5D528-1B8F-7E46-B328-A568C82F5BF1}" name="Bron 1 - naam/jaar"/>
    <tableColumn id="14" xr3:uid="{851AF6CB-AF94-B142-BEEC-0507B5AFE7B7}" name="Bron 1 - waarde" dataDxfId="111"/>
    <tableColumn id="15" xr3:uid="{5F8E9902-3367-9843-9136-9B47C56E045C}" name="Bron 1 - type/link"/>
    <tableColumn id="16" xr3:uid="{CC9852E1-4218-D245-B20C-C02E269F16DA}" name="Bron 2 - naam/jaar"/>
    <tableColumn id="17" xr3:uid="{B13FC089-87B6-F743-BF27-1E6B06163AC7}" name="Bron 2 - waarde" dataDxfId="110"/>
    <tableColumn id="18" xr3:uid="{23576774-F968-854B-AA9D-6585B2CB2BD7}" name="Bron 2 - type/link"/>
    <tableColumn id="19" xr3:uid="{8DA3392C-ECD1-4441-8022-D8F8E6609265}" name="Bron 3 - naam/jaar"/>
    <tableColumn id="20" xr3:uid="{CC9357AE-6635-FE4E-B85A-363F74A38BCF}" name="Bron 3 - waarde" dataDxfId="109"/>
    <tableColumn id="21" xr3:uid="{65246348-9157-3A4C-93E2-FCFBC3E858D6}" name="Bron 3 - type/link"/>
    <tableColumn id="10" xr3:uid="{A90E8A1F-6C16-2340-9FE2-CB84D6E8F6E8}" name="Actie"/>
    <tableColumn id="11" xr3:uid="{E031D1EB-9E6F-F14C-8516-6E501172EC7B}" name="Eigenaar"/>
    <tableColumn id="12" xr3:uid="{4F541797-1CBD-BA49-A72C-AFBC8EC1FBD7}" name="Deadline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85E43A8-16F9-0242-B8B6-93A48F447F49}" name="Gewas0596061" displayName="Gewas0596061" ref="B229:V241" totalsRowShown="0" headerRowDxfId="108">
  <tableColumns count="21">
    <tableColumn id="1" xr3:uid="{838019A5-4C3E-E74A-BF1D-149217D6447F}" name="Riet"/>
    <tableColumn id="2" xr3:uid="{85B68C26-BEE6-7547-8238-DD683F212261}" name="Eenheid" dataDxfId="107"/>
    <tableColumn id="3" xr3:uid="{6B51D981-D3F3-6044-B80D-AA5798FEA306}" name="Geen" dataDxfId="106"/>
    <tableColumn id="4" xr3:uid="{C68E7E45-DB08-864B-925D-133D1E9EBDE0}" name="Waarde MAX" dataDxfId="105"/>
    <tableColumn id="5" xr3:uid="{3F2BF9C9-325A-A140-90B6-B2F3E7770A7F}" name="Waarde GEM" dataDxfId="104"/>
    <tableColumn id="6" xr3:uid="{E7F72A1D-D892-B14E-869D-33B5D4043EBC}" name="Waarde MIN" dataDxfId="103"/>
    <tableColumn id="7" xr3:uid="{2F326F54-83EA-B548-8BAB-9FC3D0D67E3A}" name="Opmerkingen"/>
    <tableColumn id="8" xr3:uid="{41544FF4-0707-E447-A41E-CFBAF517457C}" name="Status beschrijving"/>
    <tableColumn id="9" xr3:uid="{70523986-8E88-8C4B-89FB-E0BCF4A3E921}" name="Status" dataDxfId="102"/>
    <tableColumn id="13" xr3:uid="{2B052512-3A92-9D45-B68C-27087ABEB36B}" name="Bron 1 - naam/jaar"/>
    <tableColumn id="14" xr3:uid="{12F93AA0-8DD6-7948-A809-7117DF4CC8B4}" name="Bron 1 - waarde" dataDxfId="101"/>
    <tableColumn id="15" xr3:uid="{57665CB0-FD75-DD41-99FF-384EB60B002B}" name="Bron 1 - type/link"/>
    <tableColumn id="16" xr3:uid="{80F0CE82-8D98-8A48-AB7C-4FBDA7E1F5D1}" name="Bron 2 - naam/jaar"/>
    <tableColumn id="17" xr3:uid="{659104A5-F014-5846-B132-A6640F771C47}" name="Bron 2 - waarde" dataDxfId="100"/>
    <tableColumn id="18" xr3:uid="{70A6A202-5F9E-0D46-B5FA-696643109ED7}" name="Bron 2 - type/link"/>
    <tableColumn id="19" xr3:uid="{4846B46A-F7E7-944F-A5B7-E861CC9B5C0F}" name="Bron 3 - naam/jaar"/>
    <tableColumn id="20" xr3:uid="{D625203F-F3EA-A847-9E19-A42043BF40DC}" name="Bron 3 - waarde" dataDxfId="99"/>
    <tableColumn id="21" xr3:uid="{32010BC4-39A5-FF4F-A21F-C10A07FC504F}" name="Bron 3 - type/link"/>
    <tableColumn id="10" xr3:uid="{7FD70A3E-1713-2F41-8812-4CC2675C7633}" name="Actie"/>
    <tableColumn id="11" xr3:uid="{FF486B6F-572A-524D-A807-F38CF4E0F9C0}" name="Eigenaar"/>
    <tableColumn id="12" xr3:uid="{258AD9CE-5CBA-5041-B994-8E9EEC320834}" name="Deadline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13F8DB9-D506-034E-8CDF-B797A7DEFA5C}" name="Gewas059606162" displayName="Gewas059606162" ref="B243:V255" totalsRowShown="0" headerRowDxfId="98">
  <tableColumns count="21">
    <tableColumn id="1" xr3:uid="{9CC1FBE9-77B9-704A-AEC6-6089076A943B}" name="Silphie"/>
    <tableColumn id="2" xr3:uid="{4E653222-21C8-244B-ACC0-5D5E6B75CFE3}" name="Eenheid" dataDxfId="97"/>
    <tableColumn id="3" xr3:uid="{E553A8FB-33F7-FC45-AF53-8D0192D46FC4}" name="Geen" dataDxfId="96"/>
    <tableColumn id="4" xr3:uid="{BF0BE24C-A35B-4349-A2F2-B9ECB2ADE526}" name="Waarde MAX" dataDxfId="95"/>
    <tableColumn id="5" xr3:uid="{53824B0B-70D3-C642-9A75-793E0DC3EA58}" name="Waarde GEM" dataDxfId="94"/>
    <tableColumn id="6" xr3:uid="{9CD2D7D6-E601-C14A-AEC7-DBE63A612627}" name="Waarde MIN" dataDxfId="93"/>
    <tableColumn id="7" xr3:uid="{985A14EF-1164-074C-BE04-239306FE12F5}" name="Opmerkingen"/>
    <tableColumn id="8" xr3:uid="{B16CBA09-7B17-974C-875D-FA1B594D8BE5}" name="Status beschrijving"/>
    <tableColumn id="9" xr3:uid="{14194B26-F50E-C84C-9F04-5A6585D312BC}" name="Status" dataDxfId="92"/>
    <tableColumn id="13" xr3:uid="{2EF96320-EAD6-5241-B976-9164EA4B4A94}" name="Bron 1 - naam/jaar"/>
    <tableColumn id="14" xr3:uid="{E1491BDF-0917-3744-80D6-82356E2CCC15}" name="Bron 1 - waarde" dataDxfId="91"/>
    <tableColumn id="15" xr3:uid="{92E9E112-D925-A948-8AB0-B5DDD749A58A}" name="Bron 1 - type/link"/>
    <tableColumn id="16" xr3:uid="{9E21C0AF-4A4C-344F-8CE6-65D268370FD7}" name="Bron 2 - naam/jaar"/>
    <tableColumn id="17" xr3:uid="{BEE3B4BE-1648-1349-9C9A-6FC152AB49F3}" name="Bron 2 - waarde" dataDxfId="90"/>
    <tableColumn id="18" xr3:uid="{107A99A7-0A10-B444-99D8-1C4309EF612E}" name="Bron 2 - type/link"/>
    <tableColumn id="19" xr3:uid="{60DCD7F1-76DE-4A4B-906F-825B41306965}" name="Bron 3 - naam/jaar"/>
    <tableColumn id="20" xr3:uid="{383275E1-BE8D-1847-A986-C7DA3A5F4B64}" name="Bron 3 - waarde" dataDxfId="89"/>
    <tableColumn id="21" xr3:uid="{E75AC0B2-C6F2-B841-9779-46815620A0BA}" name="Bron 3 - type/link"/>
    <tableColumn id="10" xr3:uid="{4993C575-2300-0D44-A188-C61BFFC9F7CC}" name="Actie"/>
    <tableColumn id="11" xr3:uid="{12BCF0F7-73CB-CE4D-A1C8-EC7F0DFA5680}" name="Eigenaar"/>
    <tableColumn id="12" xr3:uid="{4BDD250A-A0F9-1146-AF6F-4A3AF63310A2}" name="Deadline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A29FB87-002E-C44E-8E2E-69AC9F5C7BD7}" name="Gewas05960616263" displayName="Gewas05960616263" ref="B257:V269" totalsRowShown="0" headerRowDxfId="88">
  <tableColumns count="21">
    <tableColumn id="1" xr3:uid="{0AA3FA06-16F0-EC4C-8F01-4471E9FCE886}" name="Miscanthus"/>
    <tableColumn id="2" xr3:uid="{FCCE06D6-5BD8-8545-BC2B-2A6901DB1E1F}" name="Eenheid" dataDxfId="87"/>
    <tableColumn id="3" xr3:uid="{E46956B9-72D2-AC40-8529-C680B1A96760}" name="Geen" dataDxfId="86"/>
    <tableColumn id="4" xr3:uid="{8D5A749F-0ABE-A042-9AE4-F376442A10A5}" name="Waarde MAX" dataDxfId="85"/>
    <tableColumn id="5" xr3:uid="{20F44E8F-5FDA-284B-AE34-D3224C550E89}" name="Waarde GEM" dataDxfId="84"/>
    <tableColumn id="6" xr3:uid="{9BD78823-A423-7945-A17E-123F1E8E0E8C}" name="Waarde MIN" dataDxfId="83"/>
    <tableColumn id="7" xr3:uid="{940539AA-E050-DC40-A3FA-A04C2BB34039}" name="Opmerkingen"/>
    <tableColumn id="8" xr3:uid="{37F4F3C2-BF6C-D94F-8951-A736E312C377}" name="Status beschrijving"/>
    <tableColumn id="9" xr3:uid="{C01E8589-6DB7-F446-A706-6DD653DC1C10}" name="Status" dataDxfId="82"/>
    <tableColumn id="13" xr3:uid="{39C6DF50-2437-9E43-B8B1-22020AFC69AC}" name="Bron 1 - naam/jaar"/>
    <tableColumn id="14" xr3:uid="{0843556D-8241-8049-AC51-9C60F804E011}" name="Bron 1 - waarde" dataDxfId="81"/>
    <tableColumn id="15" xr3:uid="{92F2B896-CB8D-E341-AE36-3C2FAE994F39}" name="Bron 1 - type/link"/>
    <tableColumn id="16" xr3:uid="{3D65F56B-694B-E744-A72E-216E710C105E}" name="Bron 2 - naam/jaar"/>
    <tableColumn id="17" xr3:uid="{0E7544C5-624E-2840-B253-A5B97B63C9F0}" name="Bron 2 - waarde" dataDxfId="80"/>
    <tableColumn id="18" xr3:uid="{AA584259-9A51-E643-B318-E72053509954}" name="Bron 2 - type/link"/>
    <tableColumn id="19" xr3:uid="{7914BD12-3EE8-F649-8B01-760EB711508F}" name="Bron 3 - naam/jaar"/>
    <tableColumn id="20" xr3:uid="{1C9CFDF5-58B1-2245-9D99-E6F114498048}" name="Bron 3 - waarde" dataDxfId="79"/>
    <tableColumn id="21" xr3:uid="{5F9A2CB6-ABE5-AA48-AB0B-B829080C1F8D}" name="Bron 3 - type/link"/>
    <tableColumn id="10" xr3:uid="{776AF11F-99BA-974D-9CF6-F2F36CEE30DD}" name="Actie"/>
    <tableColumn id="11" xr3:uid="{1D6C5114-4269-CB45-A919-42D451CC8ACE}" name="Eigenaar"/>
    <tableColumn id="12" xr3:uid="{D38E40C1-2D59-FE45-84EC-15E601A2F3F1}" name="Deadlin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F038189-37E2-C748-A110-B0D6D75E2592}" name="Gewas0596061626364" displayName="Gewas0596061626364" ref="B271:V283" totalsRowShown="0" headerRowDxfId="78">
  <tableColumns count="21">
    <tableColumn id="1" xr3:uid="{B4AADE2E-3BAD-0445-B00C-3E9EE65617F4}" name="Gewas 7"/>
    <tableColumn id="2" xr3:uid="{0B00810A-C6FD-4A45-AD97-BFAF0BB9B16E}" name="Eenheid" dataDxfId="77"/>
    <tableColumn id="3" xr3:uid="{AA83216D-69A0-5D43-B7D0-7496A2783DCD}" name="Geen" dataDxfId="76"/>
    <tableColumn id="4" xr3:uid="{59AB64AA-92E5-D946-9295-ED92FD780A5D}" name="Waarde MAX" dataDxfId="75"/>
    <tableColumn id="5" xr3:uid="{885D0C46-4F2E-7944-9D85-DAF354FE3818}" name="Waarde GEM" dataDxfId="74"/>
    <tableColumn id="6" xr3:uid="{16A48118-0B40-054A-A935-675F1A7B710A}" name="Waarde MIN" dataDxfId="73"/>
    <tableColumn id="7" xr3:uid="{E31F78D9-2D6A-CB47-BE0D-964BDF5078C8}" name="Opmerkingen"/>
    <tableColumn id="8" xr3:uid="{9EFC4821-236E-694C-AF62-CFC4066F3B72}" name="Status beschrijving"/>
    <tableColumn id="9" xr3:uid="{D7137BA7-FB6E-4B4C-A8EB-79E8C4FF391B}" name="Status" dataDxfId="72"/>
    <tableColumn id="13" xr3:uid="{8F623A01-32B0-4547-92A8-F730C18F5CC5}" name="Bron 1 - naam/jaar"/>
    <tableColumn id="14" xr3:uid="{1D184530-06C7-4C41-AD9B-088FB1E267F8}" name="Bron 1 - waarde" dataDxfId="71"/>
    <tableColumn id="15" xr3:uid="{48CD9872-B7B2-D542-8746-C986AC52F982}" name="Bron 1 - type/link"/>
    <tableColumn id="16" xr3:uid="{44B228E4-AA27-D043-9513-EF355EB1F53F}" name="Bron 2 - naam/jaar"/>
    <tableColumn id="17" xr3:uid="{09D488C2-5CAD-C64F-9EA0-E28183F43C6F}" name="Bron 2 - waarde" dataDxfId="70"/>
    <tableColumn id="18" xr3:uid="{3127426E-BF3B-114E-9818-7421E223A2FC}" name="Bron 2 - type/link"/>
    <tableColumn id="19" xr3:uid="{C14CAE12-4D21-564C-B458-E1763D55F648}" name="Bron 3 - naam/jaar"/>
    <tableColumn id="20" xr3:uid="{20560424-124B-1D4C-812A-04EC243B2A44}" name="Bron 3 - waarde" dataDxfId="69"/>
    <tableColumn id="21" xr3:uid="{757E057F-6D6E-D243-94AC-BEC3E842DC4A}" name="Bron 3 - type/link"/>
    <tableColumn id="10" xr3:uid="{6923C805-9439-394D-A256-E53A74E6C176}" name="Actie"/>
    <tableColumn id="11" xr3:uid="{A9AA3EF3-7398-8341-A6ED-9B832CF4F367}" name="Eigenaar"/>
    <tableColumn id="12" xr3:uid="{C98B8EE8-9D6C-F543-9582-6E7D1CA83E48}" name="Deadlin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FF4C7EA-4809-F344-8D78-97F613779BA6}" name="Zaaigoed" displayName="Zaaigoed" ref="B105:G112" totalsRowShown="0" headerRowDxfId="68" dataDxfId="67">
  <autoFilter ref="B105:G112" xr:uid="{5FF4C7EA-4809-F344-8D78-97F613779B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1B9F006-954A-124A-822F-AE342A99B9B7}" name="Zaaigoed" dataDxfId="66"/>
    <tableColumn id="2" xr3:uid="{27EE0D88-077D-4140-83CA-7AB647E8D94E}" name="Eenheid" dataDxfId="65"/>
    <tableColumn id="3" xr3:uid="{650D2E48-B570-AD4F-885C-2AD4F90EF5D8}" name="Geen" dataDxfId="64"/>
    <tableColumn id="4" xr3:uid="{2AA1843A-D922-4F48-A73D-C8909AEE32B6}" name="Waarde MAX" dataDxfId="63"/>
    <tableColumn id="5" xr3:uid="{87A27020-A56F-4D41-AEE8-53355E04107F}" name="Waarde GEM" dataDxfId="62"/>
    <tableColumn id="6" xr3:uid="{D1C9242D-F5FB-2E4F-A73C-EB3308589036}" name="Waarde MIN" dataDxfId="61"/>
  </tableColumns>
  <tableStyleInfo name="TableStyleMedium4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5DBA299-2337-2B4D-B227-5ACC6658D34F}" name="Plantgoed" displayName="Plantgoed" ref="B114:G121" totalsRowShown="0" headerRowDxfId="60" dataDxfId="59">
  <autoFilter ref="B114:G121" xr:uid="{B5DBA299-2337-2B4D-B227-5ACC6658D3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B5261E0-06CB-894D-9B62-ED611E691860}" name="Plantgoed" dataDxfId="58"/>
    <tableColumn id="2" xr3:uid="{AC329C0C-3BA0-CA4C-8022-52A49A77E86D}" name="Eenheid" dataDxfId="57"/>
    <tableColumn id="3" xr3:uid="{B9EBC929-E039-4942-B16E-F0A33320677A}" name="Geen" dataDxfId="56"/>
    <tableColumn id="4" xr3:uid="{C823DC14-CCC2-FB48-8BF7-D4D0737EBA51}" name="Waarde MAX" dataDxfId="55"/>
    <tableColumn id="5" xr3:uid="{3804670A-541F-D149-9A14-F730CFD01869}" name="Waarde GEM" dataDxfId="54"/>
    <tableColumn id="6" xr3:uid="{B42981CF-BEAE-AF4A-AE34-E2C8D743620A}" name="Waarde MIN" dataDxfId="53"/>
  </tableColumns>
  <tableStyleInfo name="TableStyleMedium4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834235F-514D-A74C-AE2C-87A978003ABA}" name="Gewasopbrengst_1" displayName="Gewasopbrengst_1" ref="B132:G139" totalsRowShown="0" headerRowDxfId="52" dataDxfId="51">
  <autoFilter ref="B132:G139" xr:uid="{5834235F-514D-A74C-AE2C-87A978003ABA}"/>
  <tableColumns count="6">
    <tableColumn id="1" xr3:uid="{55E6C3E2-1782-4645-815A-70A3AA720776}" name="Gewasopbrengst 1" dataDxfId="50"/>
    <tableColumn id="2" xr3:uid="{2A845D10-A1B5-CC49-A329-C97E6A0DA62F}" name="Eenheid" dataDxfId="49"/>
    <tableColumn id="3" xr3:uid="{0F06DE80-9106-9249-AA1B-CC661767FF61}" name="Geen" dataDxfId="48"/>
    <tableColumn id="4" xr3:uid="{384A9FB2-FAF8-8E45-A885-910AE1182FBD}" name="Waarde MAX" dataDxfId="47"/>
    <tableColumn id="5" xr3:uid="{B180F058-33E2-EC44-B811-20BBAC6EDD02}" name="Waarde GEM" dataDxfId="46"/>
    <tableColumn id="6" xr3:uid="{CF5A2131-5A21-4A49-9B52-A11B25963E39}" name="Waarde MIN" dataDxfId="45"/>
  </tableColumns>
  <tableStyleInfo name="TableStyleMedium4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8D5D290-CE94-2E4F-84FD-409FA402BF6D}" name="Gewasopbrengst_0" displayName="Gewasopbrengst_0" ref="B123:D130" totalsRowShown="0" headerRowDxfId="44" dataDxfId="43">
  <autoFilter ref="B123:D130" xr:uid="{98D5D290-CE94-2E4F-84FD-409FA402BF6D}"/>
  <tableColumns count="3">
    <tableColumn id="1" xr3:uid="{7732260B-F009-1E41-B314-4C006ADBB662}" name="Gewasopbrengst gehele plant" dataDxfId="42"/>
    <tableColumn id="2" xr3:uid="{71634C95-7AC6-C94F-BB33-F3C7CD555A52}" name="Gewasopbrengst 1" dataDxfId="41"/>
    <tableColumn id="3" xr3:uid="{6E81AA03-39AB-8C47-A54C-7D6E313E0D8B}" name="Gewasopbrengst 2" dataDxfId="40"/>
  </tableColumns>
  <tableStyleInfo name="TableStyleMedium4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8286F5C-6FD9-9845-8565-070B5C57786A}" name="Gewasopbrengst_2" displayName="Gewasopbrengst_2" ref="B141:G148" totalsRowShown="0" headerRowDxfId="39" dataDxfId="38">
  <autoFilter ref="B141:G148" xr:uid="{08286F5C-6FD9-9845-8565-070B5C57786A}"/>
  <tableColumns count="6">
    <tableColumn id="1" xr3:uid="{A9F9E57B-725C-034F-BE97-7EA36991CF6C}" name="Gewasopbrengst 2" dataDxfId="37"/>
    <tableColumn id="2" xr3:uid="{ED4D896F-C9D1-854A-964D-C15D41225D61}" name="Eenheid" dataDxfId="36"/>
    <tableColumn id="3" xr3:uid="{2302E7C0-2784-BB4E-8233-356461E0B845}" name="Geen" dataDxfId="35"/>
    <tableColumn id="4" xr3:uid="{68F1F5BD-E799-C349-81C6-A8EBA01FBA24}" name="Waarde MAX" dataDxfId="34"/>
    <tableColumn id="5" xr3:uid="{465E3133-DA1D-A146-85BB-C263B84A0656}" name="Waarde GEM" dataDxfId="33"/>
    <tableColumn id="6" xr3:uid="{1889F19B-0522-274E-982B-9FD3C723B34B}" name="Waarde MIN" dataDxfId="32"/>
  </tableColumns>
  <tableStyleInfo name="TableStyleMedium4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588B3439-74C5-2B42-BE51-317250F16119}" name="Opbrengstprijs_1" displayName="Opbrengstprijs_1" ref="B150:G157" totalsRowShown="0" headerRowDxfId="31" dataDxfId="30">
  <autoFilter ref="B150:G157" xr:uid="{588B3439-74C5-2B42-BE51-317250F16119}"/>
  <tableColumns count="6">
    <tableColumn id="1" xr3:uid="{AA90EBF1-00AB-7A41-80BA-0FC1CB29AB2C}" name="Opbrengstprijs 1" dataDxfId="29"/>
    <tableColumn id="2" xr3:uid="{44B5CFD5-B8AF-DA45-9D55-4E86D505D629}" name="Eenheid" dataDxfId="28"/>
    <tableColumn id="3" xr3:uid="{24842C90-F2B3-9D4D-A154-C08BBFBFCB65}" name="Geen" dataDxfId="27"/>
    <tableColumn id="4" xr3:uid="{04815A38-7BC7-BF41-9D75-1239D7E20B60}" name="Waarde MAX" dataDxfId="26"/>
    <tableColumn id="5" xr3:uid="{A8D5335C-2389-B44A-8C33-D6A314CEDCEA}" name="Waarde GEM" dataDxfId="25"/>
    <tableColumn id="6" xr3:uid="{B7B635C0-9BF9-8342-8F83-B619F6A0868A}" name="Waarde MIN" dataDxfId="24"/>
  </tableColumns>
  <tableStyleInfo name="TableStyleMedium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20E4356-AC50-6B44-9035-30335FBCE9B2}" name="Opbrengstprijs_2" displayName="Opbrengstprijs_2" ref="B159:G166" totalsRowShown="0" headerRowDxfId="23" dataDxfId="22">
  <autoFilter ref="B159:G166" xr:uid="{820E4356-AC50-6B44-9035-30335FBCE9B2}"/>
  <tableColumns count="6">
    <tableColumn id="1" xr3:uid="{CC9AD424-DFA9-4547-96E0-98DB7C8FB5FA}" name="Opbrengstprijs 2" dataDxfId="21"/>
    <tableColumn id="2" xr3:uid="{ACA8FEC5-2CA4-A94E-8D63-FC65C4E8A037}" name="Eenheid" dataDxfId="20"/>
    <tableColumn id="3" xr3:uid="{DAFC6C22-3ED4-2B49-A426-2902321C673A}" name="Geen" dataDxfId="19"/>
    <tableColumn id="4" xr3:uid="{745AC968-67F4-194C-9F80-01097A524833}" name="Waarde MAX" dataDxfId="18"/>
    <tableColumn id="5" xr3:uid="{F59F3598-9CFE-E64A-B892-704418A28ABF}" name="Waarde GEM" dataDxfId="17"/>
    <tableColumn id="6" xr3:uid="{5F9329AC-4021-964F-AF1C-F1D84550D8BE}" name="Waarde MIN" dataDxfId="16"/>
  </tableColumns>
  <tableStyleInfo name="TableStyleMedium4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A2F254DF-D150-874E-83CD-C3EA6137EAC1}" name="GehalteDS_1" displayName="GehalteDS_1" ref="B168:G175" totalsRowShown="0" headerRowDxfId="15" dataDxfId="14">
  <autoFilter ref="B168:G175" xr:uid="{A2F254DF-D150-874E-83CD-C3EA6137EAC1}"/>
  <tableColumns count="6">
    <tableColumn id="1" xr3:uid="{3578D3C1-4785-0447-8A0E-EEFC83CC5520}" name="DS-gehalte 1" dataDxfId="13"/>
    <tableColumn id="2" xr3:uid="{DE8A6602-22BF-6D4E-AC5B-C51073ED7A1F}" name="Eenheid" dataDxfId="12"/>
    <tableColumn id="3" xr3:uid="{28693DBB-9251-7A4C-A9DB-7E91856E73FB}" name="Geen" dataDxfId="11"/>
    <tableColumn id="4" xr3:uid="{82EF964C-D56D-E04C-80E9-A88B8E0F9089}" name="Waarde MAX" dataDxfId="10"/>
    <tableColumn id="5" xr3:uid="{7FE0BE17-B6DD-BA4D-B730-693711112DDF}" name="Waarde GEM" dataDxfId="9"/>
    <tableColumn id="6" xr3:uid="{AB7BE9A1-67B8-DC4D-99D3-5E6E196497FB}" name="Waarde MIN" dataDxfId="8"/>
  </tableColumns>
  <tableStyleInfo name="TableStyleMedium4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9AD1F40E-FDA9-5D40-ADA9-28DE9781F9A5}" name="GehalteDS_2" displayName="GehalteDS_2" ref="B177:G184" totalsRowShown="0" headerRowDxfId="7" dataDxfId="6">
  <autoFilter ref="B177:G184" xr:uid="{9AD1F40E-FDA9-5D40-ADA9-28DE9781F9A5}"/>
  <tableColumns count="6">
    <tableColumn id="1" xr3:uid="{AB5B3BD1-5E60-F34A-A5AF-2E0F9A56E9BD}" name="DS-gehalte 2" dataDxfId="5"/>
    <tableColumn id="2" xr3:uid="{47B25306-8B77-CB47-B4F7-72181B906228}" name="Eenheid" dataDxfId="4"/>
    <tableColumn id="3" xr3:uid="{1FC4099D-A4B8-9344-8BC6-417935C4ABF6}" name="Geen" dataDxfId="3"/>
    <tableColumn id="4" xr3:uid="{97A9AEB0-DC5B-A14D-A2DB-D9A6475A9864}" name="Waarde MAX" dataDxfId="2"/>
    <tableColumn id="5" xr3:uid="{CCF67E39-05E4-FE40-8E2B-027D521D5198}" name="Waarde GEM" dataDxfId="1"/>
    <tableColumn id="6" xr3:uid="{FE10E1F0-8619-F541-B701-381469A1A355}" name="Waarde MI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48D7-3F98-4436-BD42-BE0525681D26}">
  <sheetPr>
    <tabColor theme="0"/>
  </sheetPr>
  <dimension ref="A1:Q136"/>
  <sheetViews>
    <sheetView zoomScaleNormal="100" workbookViewId="0">
      <selection activeCell="B63" sqref="B63"/>
    </sheetView>
  </sheetViews>
  <sheetFormatPr defaultColWidth="11.08203125" defaultRowHeight="15.5"/>
  <cols>
    <col min="1" max="1" width="3.58203125" customWidth="1"/>
    <col min="2" max="2" width="22.4140625" customWidth="1"/>
  </cols>
  <sheetData>
    <row r="1" spans="1:17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17" ht="18.5">
      <c r="A2" s="306"/>
      <c r="B2" s="307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6"/>
      <c r="Q2" s="306"/>
    </row>
    <row r="3" spans="1:17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7" ht="17">
      <c r="A4" s="306"/>
      <c r="B4" s="309" t="s">
        <v>1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06"/>
      <c r="Q4" s="306"/>
    </row>
    <row r="5" spans="1:17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</row>
    <row r="6" spans="1:17">
      <c r="A6" s="306"/>
      <c r="B6" s="311" t="s">
        <v>2</v>
      </c>
      <c r="C6" s="306" t="s">
        <v>3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</row>
    <row r="7" spans="1:17">
      <c r="A7" s="306"/>
      <c r="B7" s="311" t="s">
        <v>4</v>
      </c>
      <c r="C7" s="312" t="s">
        <v>5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</row>
    <row r="8" spans="1:17">
      <c r="A8" s="306"/>
      <c r="B8" s="311" t="s">
        <v>6</v>
      </c>
      <c r="C8" s="306" t="s">
        <v>7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</row>
    <row r="9" spans="1:17">
      <c r="A9" s="306"/>
      <c r="B9" s="311" t="s">
        <v>8</v>
      </c>
      <c r="C9" s="306" t="s">
        <v>9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</row>
    <row r="10" spans="1:17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</row>
    <row r="11" spans="1:17" ht="17">
      <c r="A11" s="306"/>
      <c r="B11" s="309" t="s">
        <v>10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06"/>
      <c r="Q11" s="306"/>
    </row>
    <row r="12" spans="1:17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</row>
    <row r="13" spans="1:17">
      <c r="A13" s="306"/>
      <c r="B13" s="306" t="s">
        <v>11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</row>
    <row r="14" spans="1:17">
      <c r="A14" s="306"/>
      <c r="B14" s="306" t="s">
        <v>12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</row>
    <row r="15" spans="1:17">
      <c r="A15" s="306"/>
      <c r="B15" s="306" t="s">
        <v>13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</row>
    <row r="16" spans="1:17">
      <c r="A16" s="306"/>
      <c r="B16" s="306" t="s">
        <v>14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</row>
    <row r="17" spans="1:17">
      <c r="A17" s="306"/>
      <c r="B17" s="306" t="s">
        <v>15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</row>
    <row r="18" spans="1:17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</row>
    <row r="19" spans="1:17" ht="17">
      <c r="A19" s="306"/>
      <c r="B19" s="309" t="s">
        <v>16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06"/>
      <c r="Q19" s="306"/>
    </row>
    <row r="20" spans="1:17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</row>
    <row r="21" spans="1:17">
      <c r="A21" s="306"/>
      <c r="B21" s="306" t="s">
        <v>17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</row>
    <row r="22" spans="1:17">
      <c r="A22" s="306"/>
      <c r="B22" s="306" t="s">
        <v>18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</row>
    <row r="23" spans="1:17">
      <c r="A23" s="306"/>
      <c r="B23" s="306" t="s">
        <v>19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</row>
    <row r="24" spans="1:17">
      <c r="A24" s="306"/>
      <c r="B24" s="306" t="s">
        <v>20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</row>
    <row r="25" spans="1:17">
      <c r="A25" s="306"/>
      <c r="B25" s="306" t="s">
        <v>21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</row>
    <row r="26" spans="1:17">
      <c r="A26" s="306"/>
      <c r="B26" s="306" t="s">
        <v>22</v>
      </c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</row>
    <row r="27" spans="1:17">
      <c r="A27" s="306"/>
      <c r="B27" s="306" t="s">
        <v>23</v>
      </c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</row>
    <row r="28" spans="1:17">
      <c r="A28" s="306"/>
      <c r="B28" s="306" t="s">
        <v>24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</row>
    <row r="29" spans="1:17">
      <c r="A29" s="306"/>
      <c r="B29" s="306" t="s">
        <v>25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</row>
    <row r="30" spans="1:17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</row>
    <row r="31" spans="1:17" ht="17">
      <c r="A31" s="306"/>
      <c r="B31" s="309" t="s">
        <v>26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06"/>
      <c r="Q31" s="306"/>
    </row>
    <row r="32" spans="1:17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</row>
    <row r="33" spans="1:17">
      <c r="A33" s="306"/>
      <c r="B33" s="311" t="s">
        <v>27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</row>
    <row r="34" spans="1:17">
      <c r="A34" s="306"/>
      <c r="B34" s="313" t="s">
        <v>28</v>
      </c>
      <c r="D34" s="306" t="s">
        <v>29</v>
      </c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</row>
    <row r="35" spans="1:17">
      <c r="A35" s="306"/>
      <c r="B35" s="313" t="s">
        <v>42</v>
      </c>
      <c r="D35" s="306" t="s">
        <v>43</v>
      </c>
      <c r="E35" s="306"/>
      <c r="I35" s="306"/>
      <c r="J35" s="306"/>
      <c r="M35" s="306"/>
      <c r="N35" s="306"/>
      <c r="O35" s="306"/>
      <c r="P35" s="306"/>
      <c r="Q35" s="306"/>
    </row>
    <row r="36" spans="1:17">
      <c r="A36" s="306"/>
      <c r="B36" s="313" t="s">
        <v>30</v>
      </c>
      <c r="D36" s="306" t="s">
        <v>31</v>
      </c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</row>
    <row r="37" spans="1:17">
      <c r="A37" s="306"/>
      <c r="B37" s="313" t="s">
        <v>32</v>
      </c>
      <c r="D37" s="306" t="s">
        <v>33</v>
      </c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</row>
    <row r="38" spans="1:17">
      <c r="A38" s="306"/>
      <c r="B38" s="313" t="s">
        <v>34</v>
      </c>
      <c r="D38" s="306" t="s">
        <v>35</v>
      </c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</row>
    <row r="39" spans="1:17">
      <c r="A39" s="306"/>
      <c r="B39" s="313" t="s">
        <v>36</v>
      </c>
      <c r="D39" s="306" t="s">
        <v>37</v>
      </c>
      <c r="E39" s="306"/>
      <c r="F39" s="306"/>
      <c r="G39" s="306"/>
      <c r="H39" s="306"/>
      <c r="I39" s="306"/>
      <c r="J39" s="306"/>
      <c r="M39" s="306"/>
      <c r="N39" s="306"/>
      <c r="O39" s="306"/>
      <c r="P39" s="306"/>
      <c r="Q39" s="306"/>
    </row>
    <row r="40" spans="1:17">
      <c r="A40" s="306"/>
      <c r="B40" s="313" t="s">
        <v>38</v>
      </c>
      <c r="D40" s="306" t="s">
        <v>39</v>
      </c>
      <c r="E40" s="306"/>
      <c r="F40" s="306"/>
      <c r="G40" s="306"/>
      <c r="H40" s="306"/>
      <c r="I40" s="306"/>
      <c r="J40" s="306"/>
      <c r="M40" s="306"/>
      <c r="N40" s="306"/>
      <c r="O40" s="306"/>
      <c r="P40" s="306"/>
      <c r="Q40" s="306"/>
    </row>
    <row r="41" spans="1:17">
      <c r="A41" s="306"/>
      <c r="B41" s="313" t="s">
        <v>40</v>
      </c>
      <c r="D41" s="306" t="s">
        <v>41</v>
      </c>
      <c r="E41" s="306"/>
      <c r="F41" s="306"/>
      <c r="G41" s="306"/>
      <c r="H41" s="306"/>
      <c r="I41" s="306"/>
      <c r="J41" s="306"/>
      <c r="O41" s="306"/>
      <c r="P41" s="306"/>
      <c r="Q41" s="306"/>
    </row>
    <row r="42" spans="1:17">
      <c r="A42" s="306"/>
      <c r="B42" s="313" t="s">
        <v>44</v>
      </c>
      <c r="D42" s="306" t="s">
        <v>45</v>
      </c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</row>
    <row r="43" spans="1:17">
      <c r="A43" s="306"/>
      <c r="B43" s="313" t="s">
        <v>46</v>
      </c>
      <c r="D43" s="306" t="s">
        <v>47</v>
      </c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</row>
    <row r="44" spans="1:17">
      <c r="A44" s="306"/>
      <c r="B44" s="313" t="s">
        <v>48</v>
      </c>
      <c r="D44" s="306" t="s">
        <v>49</v>
      </c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</row>
    <row r="45" spans="1:17">
      <c r="A45" s="306"/>
      <c r="B45" s="313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</row>
    <row r="46" spans="1:17">
      <c r="A46" s="306"/>
      <c r="B46" s="306" t="s">
        <v>689</v>
      </c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</row>
    <row r="47" spans="1:17">
      <c r="A47" s="306"/>
      <c r="B47" s="313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</row>
    <row r="48" spans="1:17">
      <c r="A48" s="306"/>
      <c r="B48" s="311" t="s">
        <v>50</v>
      </c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</row>
    <row r="49" spans="1:17">
      <c r="A49" s="306"/>
      <c r="B49" s="306" t="s">
        <v>51</v>
      </c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</row>
    <row r="50" spans="1:17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</row>
    <row r="51" spans="1:17">
      <c r="A51" s="306"/>
      <c r="B51" s="306" t="s">
        <v>52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</row>
    <row r="52" spans="1:17">
      <c r="A52" s="306"/>
      <c r="B52" s="306" t="s">
        <v>53</v>
      </c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</row>
    <row r="53" spans="1:17">
      <c r="A53" s="306"/>
      <c r="B53" s="306" t="s">
        <v>54</v>
      </c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</row>
    <row r="54" spans="1:17">
      <c r="A54" s="306"/>
      <c r="B54" s="306" t="s">
        <v>55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</row>
    <row r="55" spans="1:17">
      <c r="A55" s="306"/>
      <c r="B55" s="306" t="s">
        <v>56</v>
      </c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</row>
    <row r="56" spans="1:17">
      <c r="A56" s="306"/>
      <c r="B56" s="306" t="s">
        <v>57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</row>
    <row r="57" spans="1:17">
      <c r="A57" s="306"/>
      <c r="B57" s="306" t="s">
        <v>58</v>
      </c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</row>
    <row r="58" spans="1:17">
      <c r="A58" s="306"/>
      <c r="B58" s="306" t="s">
        <v>59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</row>
    <row r="59" spans="1:17">
      <c r="A59" s="306"/>
      <c r="B59" s="306" t="s">
        <v>60</v>
      </c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</row>
    <row r="60" spans="1:17">
      <c r="A60" s="306"/>
      <c r="B60" s="306" t="s">
        <v>61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</row>
    <row r="61" spans="1:17">
      <c r="A61" s="306"/>
      <c r="B61" s="306" t="s">
        <v>62</v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</row>
    <row r="62" spans="1:17">
      <c r="A62" s="306"/>
      <c r="B62" s="306" t="s">
        <v>63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</row>
    <row r="63" spans="1:17">
      <c r="A63" s="306"/>
      <c r="B63" s="306" t="s">
        <v>64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</row>
    <row r="64" spans="1:17">
      <c r="A64" s="306"/>
      <c r="B64" s="306" t="s">
        <v>65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</row>
    <row r="65" spans="1:17">
      <c r="A65" s="306"/>
      <c r="B65" s="306" t="s">
        <v>66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</row>
    <row r="66" spans="1:17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</row>
    <row r="67" spans="1:17" ht="17">
      <c r="A67" s="306"/>
      <c r="B67" s="309" t="s">
        <v>67</v>
      </c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06"/>
      <c r="Q67" s="306"/>
    </row>
    <row r="68" spans="1:17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</row>
    <row r="69" spans="1:17">
      <c r="A69" s="306"/>
      <c r="B69" s="311" t="s">
        <v>68</v>
      </c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</row>
    <row r="70" spans="1:17">
      <c r="A70" s="306"/>
      <c r="B70" s="306" t="s">
        <v>69</v>
      </c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</row>
    <row r="71" spans="1:17">
      <c r="A71" s="306"/>
      <c r="B71" s="306" t="s">
        <v>70</v>
      </c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</row>
    <row r="72" spans="1:17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</row>
    <row r="73" spans="1:17">
      <c r="A73" s="306"/>
      <c r="B73" s="311" t="s">
        <v>71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</row>
    <row r="74" spans="1:17">
      <c r="A74" s="306"/>
      <c r="B74" s="306" t="s">
        <v>72</v>
      </c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</row>
    <row r="75" spans="1:17">
      <c r="A75" s="306"/>
      <c r="B75" s="306" t="s">
        <v>73</v>
      </c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</row>
    <row r="76" spans="1:17">
      <c r="A76" s="306"/>
      <c r="B76" s="306" t="s">
        <v>74</v>
      </c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</row>
    <row r="77" spans="1:17">
      <c r="A77" s="306"/>
      <c r="B77" s="306" t="s">
        <v>75</v>
      </c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</row>
    <row r="78" spans="1:17">
      <c r="A78" s="306"/>
      <c r="B78" s="306" t="s">
        <v>76</v>
      </c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</row>
    <row r="79" spans="1:17">
      <c r="A79" s="306"/>
      <c r="B79" s="306" t="s">
        <v>77</v>
      </c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</row>
    <row r="80" spans="1:17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</row>
    <row r="81" spans="1:17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</row>
    <row r="82" spans="1:17">
      <c r="A82" s="306"/>
      <c r="B82" s="311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</row>
    <row r="83" spans="1:17">
      <c r="A83" s="306"/>
      <c r="B83" s="313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</row>
    <row r="84" spans="1:17">
      <c r="A84" s="306"/>
      <c r="B84" s="313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</row>
    <row r="85" spans="1:17">
      <c r="A85" s="306"/>
      <c r="B85" s="313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</row>
    <row r="86" spans="1:17">
      <c r="A86" s="306"/>
      <c r="B86" s="313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</row>
    <row r="87" spans="1:17">
      <c r="A87" s="306"/>
      <c r="B87" s="313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</row>
    <row r="88" spans="1:17">
      <c r="A88" s="306"/>
      <c r="B88" s="313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</row>
    <row r="89" spans="1:17">
      <c r="A89" s="306"/>
      <c r="B89" s="313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</row>
    <row r="90" spans="1:17">
      <c r="A90" s="306"/>
      <c r="B90" s="313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</row>
    <row r="91" spans="1:17">
      <c r="A91" s="306"/>
      <c r="B91" s="313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</row>
    <row r="92" spans="1:17">
      <c r="A92" s="306"/>
      <c r="B92" s="313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</row>
    <row r="93" spans="1:17">
      <c r="A93" s="306"/>
      <c r="B93" s="313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</row>
    <row r="94" spans="1:17">
      <c r="A94" s="306"/>
      <c r="B94" s="313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</row>
    <row r="95" spans="1:17">
      <c r="A95" s="306"/>
      <c r="B95" s="313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</row>
    <row r="96" spans="1:17">
      <c r="A96" s="306"/>
      <c r="B96" s="313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</row>
    <row r="97" spans="1:17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</row>
    <row r="98" spans="1:17">
      <c r="A98" s="306"/>
      <c r="B98" s="311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</row>
    <row r="99" spans="1:17">
      <c r="A99" s="306"/>
      <c r="B99" s="313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</row>
    <row r="100" spans="1:17">
      <c r="A100" s="306"/>
      <c r="B100" s="313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</row>
    <row r="101" spans="1:17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</row>
    <row r="102" spans="1:17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</row>
    <row r="103" spans="1:17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</row>
    <row r="104" spans="1:17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</row>
    <row r="105" spans="1:17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</row>
    <row r="106" spans="1:17">
      <c r="A106" s="306"/>
      <c r="B106" s="311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17">
      <c r="A107" s="306"/>
      <c r="B107" s="313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17">
      <c r="A108" s="306"/>
      <c r="B108" s="313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</row>
    <row r="109" spans="1:17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</row>
    <row r="110" spans="1:17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</row>
    <row r="111" spans="1:17">
      <c r="A111" s="306"/>
      <c r="B111" s="313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</row>
    <row r="112" spans="1:17">
      <c r="A112" s="306"/>
      <c r="B112" s="313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</row>
    <row r="113" spans="1:17">
      <c r="A113" s="306"/>
      <c r="B113" s="313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</row>
    <row r="114" spans="1:17">
      <c r="A114" s="306"/>
      <c r="B114" s="313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</row>
    <row r="115" spans="1:17">
      <c r="A115" s="306"/>
      <c r="B115" s="313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</row>
    <row r="116" spans="1:17">
      <c r="A116" s="306"/>
      <c r="B116" s="313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</row>
    <row r="117" spans="1:17">
      <c r="A117" s="306"/>
      <c r="B117" s="313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</row>
    <row r="118" spans="1:17">
      <c r="A118" s="306"/>
      <c r="B118" s="313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</row>
    <row r="119" spans="1:17">
      <c r="A119" s="306"/>
      <c r="B119" s="313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</row>
    <row r="120" spans="1:17">
      <c r="A120" s="306"/>
      <c r="B120" s="313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</row>
    <row r="121" spans="1:17">
      <c r="A121" s="306"/>
      <c r="B121" s="313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</row>
    <row r="122" spans="1:17">
      <c r="A122" s="306"/>
      <c r="B122" s="313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</row>
    <row r="123" spans="1:17">
      <c r="A123" s="306"/>
      <c r="B123" s="313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</row>
    <row r="124" spans="1:17">
      <c r="A124" s="306"/>
      <c r="B124" s="313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</row>
    <row r="125" spans="1:17">
      <c r="A125" s="306"/>
      <c r="B125" s="313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</row>
    <row r="126" spans="1:17">
      <c r="A126" s="306"/>
      <c r="B126" s="313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</row>
    <row r="127" spans="1:17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</row>
    <row r="128" spans="1:17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</row>
    <row r="129" spans="1:17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</row>
    <row r="130" spans="1:17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</row>
    <row r="131" spans="1:17">
      <c r="A131" s="306"/>
      <c r="B131" s="311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</row>
    <row r="132" spans="1:17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</row>
    <row r="133" spans="1:17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</row>
    <row r="134" spans="1:17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</row>
    <row r="135" spans="1:17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</row>
    <row r="136" spans="1:17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15F1-432E-4073-B268-31ADA0023FF0}">
  <sheetPr>
    <tabColor theme="9" tint="0.79998168889431442"/>
  </sheetPr>
  <dimension ref="B2:I31"/>
  <sheetViews>
    <sheetView showGridLines="0" tabSelected="1" zoomScaleNormal="100" workbookViewId="0">
      <selection activeCell="G31" sqref="G31"/>
    </sheetView>
  </sheetViews>
  <sheetFormatPr defaultColWidth="8.9140625" defaultRowHeight="15.5"/>
  <cols>
    <col min="1" max="1" width="2.9140625" customWidth="1"/>
    <col min="2" max="2" width="40" customWidth="1"/>
    <col min="3" max="7" width="28.08203125" customWidth="1"/>
    <col min="8" max="8" width="1.9140625" customWidth="1"/>
    <col min="9" max="9" width="28.08203125" customWidth="1"/>
  </cols>
  <sheetData>
    <row r="2" spans="2:9" ht="30.65" customHeight="1">
      <c r="B2" s="237" t="s">
        <v>221</v>
      </c>
      <c r="C2" s="237" t="str">
        <f>'Grote lisdodde'!C40</f>
        <v>Grote lisdodde</v>
      </c>
      <c r="D2" s="237" t="str">
        <f>'Kleine lisdodde'!C40</f>
        <v>Kleine lisdodde</v>
      </c>
      <c r="E2" s="238" t="str">
        <f>Riet!C40</f>
        <v>Riet</v>
      </c>
      <c r="F2" s="238" t="str">
        <f>Miscanthus!C40</f>
        <v>Miscanthus</v>
      </c>
      <c r="G2" s="238" t="str">
        <f>Hennep!C40</f>
        <v>Hennep</v>
      </c>
      <c r="H2" s="303"/>
      <c r="I2" s="302" t="str">
        <f>'Gewas vrij invulbaar'!C40</f>
        <v>Silphie</v>
      </c>
    </row>
    <row r="3" spans="2:9" ht="16" thickBot="1">
      <c r="B3" s="239" t="s">
        <v>87</v>
      </c>
      <c r="C3" s="240">
        <f>'Grote lisdodde'!$C$6</f>
        <v>4262.91</v>
      </c>
      <c r="D3" s="240">
        <f>'Kleine lisdodde'!$C$6</f>
        <v>3062.91</v>
      </c>
      <c r="E3" s="240">
        <f>Riet!$C$6</f>
        <v>4662.91</v>
      </c>
      <c r="F3" s="240">
        <f>Miscanthus!$C$6</f>
        <v>1262.9100000000001</v>
      </c>
      <c r="G3" s="240">
        <f>Hennep!$C$6</f>
        <v>1270.9100000000001</v>
      </c>
      <c r="H3" s="242"/>
      <c r="I3" s="240">
        <f>'Gewas vrij invulbaar'!$C$6</f>
        <v>2332.91</v>
      </c>
    </row>
    <row r="4" spans="2:9">
      <c r="B4" s="241" t="s">
        <v>89</v>
      </c>
      <c r="C4" s="242">
        <f>'Grote lisdodde'!$C$7</f>
        <v>4000</v>
      </c>
      <c r="D4" s="242">
        <f>'Kleine lisdodde'!$C$7</f>
        <v>2800</v>
      </c>
      <c r="E4" s="242">
        <f>Riet!$C$7</f>
        <v>4400</v>
      </c>
      <c r="F4" s="242">
        <f>Miscanthus!$C$7</f>
        <v>1000</v>
      </c>
      <c r="G4" s="242">
        <f>Hennep!$C$7</f>
        <v>1008</v>
      </c>
      <c r="H4" s="242"/>
      <c r="I4" s="242">
        <f>'Gewas vrij invulbaar'!$C$7</f>
        <v>2070</v>
      </c>
    </row>
    <row r="5" spans="2:9">
      <c r="B5" s="243" t="str">
        <f>'Grote lisdodde'!$B$8</f>
        <v>Gehele plant</v>
      </c>
      <c r="C5" s="244">
        <f>'Grote lisdodde'!$C$8</f>
        <v>2400</v>
      </c>
      <c r="D5" s="244">
        <f>'Kleine lisdodde'!$C$8</f>
        <v>2400</v>
      </c>
      <c r="E5" s="244">
        <f>Riet!$C$8</f>
        <v>0</v>
      </c>
      <c r="F5" s="244">
        <f>Miscanthus!$C$8</f>
        <v>1000</v>
      </c>
      <c r="G5" s="244">
        <f>Hennep!$C$8</f>
        <v>1008</v>
      </c>
      <c r="H5" s="244"/>
      <c r="I5" s="244">
        <f>'Gewas vrij invulbaar'!$C$8</f>
        <v>2070</v>
      </c>
    </row>
    <row r="6" spans="2:9">
      <c r="B6" s="243" t="str">
        <f>'Grote lisdodde'!$B$9</f>
        <v>Aren</v>
      </c>
      <c r="C6" s="244">
        <f>'Grote lisdodde'!$C$9</f>
        <v>1600</v>
      </c>
      <c r="D6" s="244">
        <f>'Kleine lisdodde'!$C$9</f>
        <v>400</v>
      </c>
      <c r="E6" s="244">
        <f>Riet!$C$9</f>
        <v>4400</v>
      </c>
      <c r="F6" s="244">
        <f>Miscanthus!$C$9</f>
        <v>0</v>
      </c>
      <c r="G6" s="244">
        <f>Hennep!$C$9</f>
        <v>0</v>
      </c>
      <c r="H6" s="244"/>
      <c r="I6" s="244">
        <f>'Gewas vrij invulbaar'!$C$9</f>
        <v>0</v>
      </c>
    </row>
    <row r="7" spans="2:9">
      <c r="B7" s="243"/>
      <c r="C7" s="244"/>
      <c r="D7" s="244"/>
      <c r="E7" s="244"/>
      <c r="F7" s="244"/>
      <c r="G7" s="244"/>
      <c r="H7" s="244"/>
      <c r="I7" s="244"/>
    </row>
    <row r="8" spans="2:9">
      <c r="B8" s="245" t="s">
        <v>90</v>
      </c>
      <c r="C8" s="242">
        <f>'Grote lisdodde'!$C$10</f>
        <v>262.91000000000003</v>
      </c>
      <c r="D8" s="242">
        <f>'Kleine lisdodde'!$C$10</f>
        <v>262.91000000000003</v>
      </c>
      <c r="E8" s="242">
        <f>Riet!$C$10</f>
        <v>262.91000000000003</v>
      </c>
      <c r="F8" s="242">
        <f>Miscanthus!$C$10</f>
        <v>262.91000000000003</v>
      </c>
      <c r="G8" s="242">
        <f>Hennep!$C$10</f>
        <v>262.91000000000003</v>
      </c>
      <c r="H8" s="242"/>
      <c r="I8" s="242">
        <f>'Gewas vrij invulbaar'!$C$10</f>
        <v>262.91000000000003</v>
      </c>
    </row>
    <row r="9" spans="2:9">
      <c r="B9" s="243" t="str">
        <f>'Grote lisdodde'!$B$11</f>
        <v>GLB</v>
      </c>
      <c r="C9" s="244">
        <f>'Grote lisdodde'!$C$11</f>
        <v>262.91000000000003</v>
      </c>
      <c r="D9" s="244">
        <f>'Kleine lisdodde'!$C$11</f>
        <v>262.91000000000003</v>
      </c>
      <c r="E9" s="244">
        <f>Riet!$C$11</f>
        <v>262.91000000000003</v>
      </c>
      <c r="F9" s="244">
        <f>Miscanthus!$C$11</f>
        <v>262.91000000000003</v>
      </c>
      <c r="G9" s="244">
        <f>Hennep!$C$11</f>
        <v>262.91000000000003</v>
      </c>
      <c r="H9" s="244"/>
      <c r="I9" s="244">
        <f>'Gewas vrij invulbaar'!$C$11</f>
        <v>262.91000000000003</v>
      </c>
    </row>
    <row r="10" spans="2:9">
      <c r="B10" s="243" t="str">
        <f>'Grote lisdodde'!$B$12</f>
        <v>Overig</v>
      </c>
      <c r="C10" s="244">
        <f>'Grote lisdodde'!$C$12</f>
        <v>0</v>
      </c>
      <c r="D10" s="244">
        <f>'Kleine lisdodde'!$C$12</f>
        <v>0</v>
      </c>
      <c r="E10" s="244">
        <f>Riet!$C$12</f>
        <v>0</v>
      </c>
      <c r="F10" s="244">
        <f>Miscanthus!$C$12</f>
        <v>0</v>
      </c>
      <c r="G10" s="244">
        <f>Hennep!$C$12</f>
        <v>0</v>
      </c>
      <c r="H10" s="244"/>
      <c r="I10" s="244">
        <f>'Gewas vrij invulbaar'!$C$12</f>
        <v>0</v>
      </c>
    </row>
    <row r="11" spans="2:9">
      <c r="B11" s="243"/>
      <c r="C11" s="244"/>
      <c r="D11" s="244"/>
      <c r="E11" s="244"/>
      <c r="F11" s="244"/>
      <c r="G11" s="244"/>
      <c r="H11" s="244"/>
      <c r="I11" s="244"/>
    </row>
    <row r="12" spans="2:9" ht="16" thickBot="1">
      <c r="B12" s="239" t="s">
        <v>81</v>
      </c>
      <c r="C12" s="240">
        <f>'Grote lisdodde'!$C$14</f>
        <v>2150.4</v>
      </c>
      <c r="D12" s="240">
        <f>'Kleine lisdodde'!$C$14</f>
        <v>1875.4</v>
      </c>
      <c r="E12" s="240">
        <f>Riet!$C$14</f>
        <v>1906</v>
      </c>
      <c r="F12" s="240">
        <f>Miscanthus!$C$14</f>
        <v>1230.1500000000001</v>
      </c>
      <c r="G12" s="240">
        <f>Hennep!$C$14</f>
        <v>1179.5875000000001</v>
      </c>
      <c r="H12" s="242"/>
      <c r="I12" s="240">
        <f>'Gewas vrij invulbaar'!$C$14</f>
        <v>1657.15</v>
      </c>
    </row>
    <row r="13" spans="2:9">
      <c r="B13" s="243" t="str">
        <f>'Grote lisdodde'!$B$15</f>
        <v>Grondgebruik</v>
      </c>
      <c r="C13" s="244">
        <f>'Grote lisdodde'!$C$15</f>
        <v>761</v>
      </c>
      <c r="D13" s="244">
        <f>'Kleine lisdodde'!$C$15</f>
        <v>486</v>
      </c>
      <c r="E13" s="244">
        <f>Riet!$C$15</f>
        <v>486</v>
      </c>
      <c r="F13" s="244">
        <f>Miscanthus!$C$15</f>
        <v>486</v>
      </c>
      <c r="G13" s="244">
        <f>Hennep!$C$15</f>
        <v>486</v>
      </c>
      <c r="H13" s="244"/>
      <c r="I13" s="244">
        <f>'Gewas vrij invulbaar'!$C$15</f>
        <v>486</v>
      </c>
    </row>
    <row r="14" spans="2:9">
      <c r="B14" s="243" t="str">
        <f>'Grote lisdodde'!$B$16</f>
        <v>Gewasverzorging</v>
      </c>
      <c r="C14" s="246">
        <f>'Grote lisdodde'!$C$16</f>
        <v>460</v>
      </c>
      <c r="D14" s="246">
        <f>'Kleine lisdodde'!$C$16</f>
        <v>460</v>
      </c>
      <c r="E14" s="246">
        <f>Riet!$C$16</f>
        <v>460</v>
      </c>
      <c r="F14" s="246">
        <f>Miscanthus!$C$16</f>
        <v>240</v>
      </c>
      <c r="G14" s="246">
        <f>Hennep!$C$16</f>
        <v>155</v>
      </c>
      <c r="H14" s="246"/>
      <c r="I14" s="246">
        <f>'Gewas vrij invulbaar'!$C$16</f>
        <v>667</v>
      </c>
    </row>
    <row r="15" spans="2:9">
      <c r="B15" s="243" t="str">
        <f>'Grote lisdodde'!$B$17</f>
        <v>Energieverbruik en water</v>
      </c>
      <c r="C15" s="246">
        <f>'Grote lisdodde'!$C$17</f>
        <v>100</v>
      </c>
      <c r="D15" s="246">
        <f>'Kleine lisdodde'!$C$17</f>
        <v>100</v>
      </c>
      <c r="E15" s="246">
        <f>Riet!$C$17</f>
        <v>0</v>
      </c>
      <c r="F15" s="246">
        <f>Miscanthus!$C$17</f>
        <v>0</v>
      </c>
      <c r="G15" s="246">
        <f>Hennep!$C$17</f>
        <v>0</v>
      </c>
      <c r="H15" s="246"/>
      <c r="I15" s="246">
        <f>'Gewas vrij invulbaar'!$C$17</f>
        <v>0</v>
      </c>
    </row>
    <row r="16" spans="2:9">
      <c r="B16" s="243" t="str">
        <f>'Grote lisdodde'!$B$18</f>
        <v>Belastingen en verzekeringen</v>
      </c>
      <c r="C16" s="246">
        <f>'Grote lisdodde'!$C$18</f>
        <v>175</v>
      </c>
      <c r="D16" s="246">
        <f>'Kleine lisdodde'!$C$18</f>
        <v>175</v>
      </c>
      <c r="E16" s="246">
        <f>Riet!$C$18</f>
        <v>175</v>
      </c>
      <c r="F16" s="246">
        <f>Miscanthus!$C$18</f>
        <v>175</v>
      </c>
      <c r="G16" s="246">
        <f>Hennep!$C$18</f>
        <v>175</v>
      </c>
      <c r="H16" s="246"/>
      <c r="I16" s="246">
        <f>'Gewas vrij invulbaar'!$C$18</f>
        <v>175</v>
      </c>
    </row>
    <row r="17" spans="2:9">
      <c r="B17" s="243" t="str">
        <f>'Grote lisdodde'!$B$19</f>
        <v>Onderhoud</v>
      </c>
      <c r="C17" s="246">
        <f>'Grote lisdodde'!$C$19</f>
        <v>205</v>
      </c>
      <c r="D17" s="246">
        <f>'Kleine lisdodde'!$C$19</f>
        <v>205</v>
      </c>
      <c r="E17" s="246">
        <f>Riet!$C$19</f>
        <v>25</v>
      </c>
      <c r="F17" s="246">
        <f>Miscanthus!$C$19</f>
        <v>25</v>
      </c>
      <c r="G17" s="246">
        <f>Hennep!$C$19</f>
        <v>0</v>
      </c>
      <c r="H17" s="246"/>
      <c r="I17" s="246">
        <f>'Gewas vrij invulbaar'!$C$19</f>
        <v>25</v>
      </c>
    </row>
    <row r="18" spans="2:9">
      <c r="B18" s="243" t="str">
        <f>'Grote lisdodde'!$B$20</f>
        <v>Oogst en opslagkosten</v>
      </c>
      <c r="C18" s="246">
        <f>'Grote lisdodde'!$C$20</f>
        <v>449.4</v>
      </c>
      <c r="D18" s="246">
        <f>'Kleine lisdodde'!$C$20</f>
        <v>449.4</v>
      </c>
      <c r="E18" s="246">
        <f>Riet!$C$20</f>
        <v>760</v>
      </c>
      <c r="F18" s="246">
        <f>Miscanthus!$C$20</f>
        <v>304.14999999999998</v>
      </c>
      <c r="G18" s="246">
        <f>Hennep!$C$20</f>
        <v>363.58749999999998</v>
      </c>
      <c r="H18" s="246"/>
      <c r="I18" s="246">
        <f>'Gewas vrij invulbaar'!$C$20</f>
        <v>304.14999999999998</v>
      </c>
    </row>
    <row r="19" spans="2:9">
      <c r="B19" s="247"/>
      <c r="C19" s="246"/>
      <c r="D19" s="246"/>
      <c r="E19" s="246"/>
      <c r="F19" s="246"/>
      <c r="G19" s="246"/>
      <c r="H19" s="246"/>
      <c r="I19" s="246"/>
    </row>
    <row r="20" spans="2:9" ht="16" thickBot="1">
      <c r="B20" s="239" t="s">
        <v>82</v>
      </c>
      <c r="C20" s="248">
        <f>'Grote lisdodde'!$C$22</f>
        <v>2112.5099999999998</v>
      </c>
      <c r="D20" s="248">
        <f>'Kleine lisdodde'!$C$22</f>
        <v>1187.5099999999998</v>
      </c>
      <c r="E20" s="248">
        <f>Riet!$C$22</f>
        <v>2756.91</v>
      </c>
      <c r="F20" s="248">
        <f>Miscanthus!$C$22</f>
        <v>32.759999999999991</v>
      </c>
      <c r="G20" s="248">
        <f>Hennep!$C$22</f>
        <v>91.322499999999991</v>
      </c>
      <c r="H20" s="304"/>
      <c r="I20" s="248">
        <f>'Gewas vrij invulbaar'!$C$22</f>
        <v>675.75999999999976</v>
      </c>
    </row>
    <row r="21" spans="2:9">
      <c r="B21" s="247"/>
      <c r="C21" s="246"/>
      <c r="D21" s="246"/>
      <c r="E21" s="246"/>
      <c r="F21" s="246"/>
      <c r="G21" s="246"/>
      <c r="H21" s="246"/>
      <c r="I21" s="246"/>
    </row>
    <row r="22" spans="2:9" ht="16" thickBot="1">
      <c r="B22" s="239" t="s">
        <v>83</v>
      </c>
      <c r="C22" s="249">
        <f>'Grote lisdodde'!$C$24</f>
        <v>1099.7472130595245</v>
      </c>
      <c r="D22" s="249">
        <f>'Kleine lisdodde'!$C$24</f>
        <v>1099.7472130595245</v>
      </c>
      <c r="E22" s="249">
        <f>Riet!$C$24</f>
        <v>728.82940576393366</v>
      </c>
      <c r="F22" s="249">
        <f>Miscanthus!$C$24</f>
        <v>420.53408541435169</v>
      </c>
      <c r="G22" s="249">
        <f>Hennep!$C$24</f>
        <v>678.56249999999989</v>
      </c>
      <c r="H22" s="305"/>
      <c r="I22" s="249">
        <f>'Gewas vrij invulbaar'!$C$24</f>
        <v>170.75</v>
      </c>
    </row>
    <row r="23" spans="2:9">
      <c r="B23" s="250" t="str">
        <f>'Grote lisdodde'!$B$25</f>
        <v>Afschrijving &amp; aflossing teeltinvesteringen</v>
      </c>
      <c r="C23" s="251">
        <f>'Grote lisdodde'!$C$25</f>
        <v>1099.7472130595245</v>
      </c>
      <c r="D23" s="251">
        <f>'Kleine lisdodde'!$C$25</f>
        <v>1099.7472130595245</v>
      </c>
      <c r="E23" s="251">
        <f>Riet!$C$25</f>
        <v>728.82940576393366</v>
      </c>
      <c r="F23" s="251">
        <f>Miscanthus!$C$25</f>
        <v>420.53408541435169</v>
      </c>
      <c r="G23" s="251">
        <f>Hennep!$C$25</f>
        <v>678.56249999999989</v>
      </c>
      <c r="H23" s="251"/>
      <c r="I23" s="251">
        <f>'Gewas vrij invulbaar'!$C$25</f>
        <v>170.75</v>
      </c>
    </row>
    <row r="24" spans="2:9">
      <c r="B24" s="250" t="str">
        <f>'Grote lisdodde'!$B$26</f>
        <v>Arbeidskosten</v>
      </c>
      <c r="C24" s="251">
        <f>'Grote lisdodde'!$C$26</f>
        <v>0</v>
      </c>
      <c r="D24" s="251">
        <f>'Kleine lisdodde'!$C$26</f>
        <v>0</v>
      </c>
      <c r="E24" s="251">
        <f>Riet!$C$26</f>
        <v>0</v>
      </c>
      <c r="F24" s="251">
        <f>Miscanthus!$C$26</f>
        <v>0</v>
      </c>
      <c r="G24" s="251">
        <f>Hennep!$C$26</f>
        <v>0</v>
      </c>
      <c r="H24" s="251"/>
      <c r="I24" s="251">
        <f>'Gewas vrij invulbaar'!$C$26</f>
        <v>0</v>
      </c>
    </row>
    <row r="25" spans="2:9">
      <c r="B25" s="250" t="str">
        <f>'Grote lisdodde'!$B$27</f>
        <v>Loonwerk</v>
      </c>
      <c r="C25" s="251">
        <f>'Grote lisdodde'!$C$27</f>
        <v>0</v>
      </c>
      <c r="D25" s="251">
        <f>'Kleine lisdodde'!$C$27</f>
        <v>0</v>
      </c>
      <c r="E25" s="251">
        <f>Riet!$C$27</f>
        <v>0</v>
      </c>
      <c r="F25" s="251">
        <f>Miscanthus!$C$27</f>
        <v>0</v>
      </c>
      <c r="G25" s="251">
        <f>Hennep!$C$27</f>
        <v>0</v>
      </c>
      <c r="H25" s="251"/>
      <c r="I25" s="251">
        <f>'Gewas vrij invulbaar'!$C$27</f>
        <v>0</v>
      </c>
    </row>
    <row r="26" spans="2:9">
      <c r="B26" s="250" t="str">
        <f>'Grote lisdodde'!$B$28</f>
        <v>Machines en inventaris</v>
      </c>
      <c r="C26" s="251">
        <f>'Grote lisdodde'!$C$27</f>
        <v>0</v>
      </c>
      <c r="D26" s="251">
        <f>'Kleine lisdodde'!$C$27</f>
        <v>0</v>
      </c>
      <c r="E26" s="251">
        <f>Riet!$C$27</f>
        <v>0</v>
      </c>
      <c r="F26" s="251">
        <f>Miscanthus!$C$27</f>
        <v>0</v>
      </c>
      <c r="G26" s="251">
        <f>Hennep!$C$27</f>
        <v>0</v>
      </c>
      <c r="H26" s="251"/>
      <c r="I26" s="251">
        <f>'Gewas vrij invulbaar'!$C$27</f>
        <v>0</v>
      </c>
    </row>
    <row r="27" spans="2:9">
      <c r="B27" s="250" t="str">
        <f>'Grote lisdodde'!$B$29</f>
        <v>Onroerende zaken</v>
      </c>
      <c r="C27" s="251">
        <f>'Grote lisdodde'!$C$27</f>
        <v>0</v>
      </c>
      <c r="D27" s="251">
        <f>'Kleine lisdodde'!$C$27</f>
        <v>0</v>
      </c>
      <c r="E27" s="251">
        <f>Riet!$C$27</f>
        <v>0</v>
      </c>
      <c r="F27" s="251">
        <f>Miscanthus!$C$27</f>
        <v>0</v>
      </c>
      <c r="G27" s="251">
        <f>Hennep!$C$27</f>
        <v>0</v>
      </c>
      <c r="H27" s="251"/>
      <c r="I27" s="251">
        <f>'Gewas vrij invulbaar'!$C$27</f>
        <v>0</v>
      </c>
    </row>
    <row r="28" spans="2:9">
      <c r="B28" s="250" t="str">
        <f>'Grote lisdodde'!$B$30</f>
        <v>Algemene kosten</v>
      </c>
      <c r="C28" s="251">
        <f>'Grote lisdodde'!$C$30</f>
        <v>0</v>
      </c>
      <c r="D28" s="251">
        <f>'Kleine lisdodde'!$C$30</f>
        <v>0</v>
      </c>
      <c r="E28" s="251">
        <f>Riet!$C$30</f>
        <v>0</v>
      </c>
      <c r="F28" s="251">
        <f>Miscanthus!$C$30</f>
        <v>0</v>
      </c>
      <c r="G28" s="251">
        <f>Hennep!$C$30</f>
        <v>0</v>
      </c>
      <c r="H28" s="251"/>
      <c r="I28" s="251">
        <f>'Gewas vrij invulbaar'!$C$30</f>
        <v>0</v>
      </c>
    </row>
    <row r="29" spans="2:9">
      <c r="B29" s="250" t="str">
        <f>'Grote lisdodde'!$B$31</f>
        <v>Rente-en bankkosten</v>
      </c>
      <c r="C29" s="251">
        <f>'Grote lisdodde'!$C$31</f>
        <v>0</v>
      </c>
      <c r="D29" s="251">
        <f>'Kleine lisdodde'!$C$31</f>
        <v>0</v>
      </c>
      <c r="E29" s="251">
        <f>Riet!$C$31</f>
        <v>0</v>
      </c>
      <c r="F29" s="251">
        <f>Miscanthus!$C$31</f>
        <v>0</v>
      </c>
      <c r="G29" s="251">
        <f>Hennep!$C$31</f>
        <v>0</v>
      </c>
      <c r="H29" s="251"/>
      <c r="I29" s="251">
        <f>'Gewas vrij invulbaar'!$C$31</f>
        <v>0</v>
      </c>
    </row>
    <row r="30" spans="2:9">
      <c r="B30" s="252"/>
      <c r="C30" s="251"/>
      <c r="D30" s="251"/>
      <c r="E30" s="251"/>
      <c r="F30" s="251"/>
      <c r="G30" s="251"/>
      <c r="H30" s="251"/>
      <c r="I30" s="251"/>
    </row>
    <row r="31" spans="2:9" ht="16" thickBot="1">
      <c r="B31" s="239" t="s">
        <v>84</v>
      </c>
      <c r="C31" s="249">
        <f>'Grote lisdodde'!$C$33</f>
        <v>1012.7627869404753</v>
      </c>
      <c r="D31" s="249">
        <f>'Kleine lisdodde'!$C$33</f>
        <v>87.76278694047528</v>
      </c>
      <c r="E31" s="249">
        <f>Riet!$C$33</f>
        <v>2028.0805942360662</v>
      </c>
      <c r="F31" s="249">
        <f>Miscanthus!$C$33</f>
        <v>-387.7740854143517</v>
      </c>
      <c r="G31" s="249">
        <f>Hennep!$C$33</f>
        <v>-587.2399999999999</v>
      </c>
      <c r="H31" s="305"/>
      <c r="I31" s="249">
        <f>'Gewas vrij invulbaar'!$C$33</f>
        <v>505.00999999999976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B48E-E2F7-114F-BC43-0F1289008BF0}">
  <sheetPr>
    <tabColor theme="9" tint="0.39997558519241921"/>
  </sheetPr>
  <dimension ref="B1:Z145"/>
  <sheetViews>
    <sheetView showGridLines="0" zoomScaleNormal="100" workbookViewId="0">
      <pane ySplit="2" topLeftCell="A3" activePane="bottomLeft" state="frozen"/>
      <selection pane="bottomLeft" activeCell="G37" sqref="G37"/>
    </sheetView>
  </sheetViews>
  <sheetFormatPr defaultColWidth="11" defaultRowHeight="15.5"/>
  <cols>
    <col min="1" max="1" width="3" customWidth="1"/>
    <col min="2" max="2" width="35.9140625" customWidth="1"/>
    <col min="3" max="3" width="13.4140625" customWidth="1"/>
    <col min="4" max="4" width="10.9140625" customWidth="1"/>
    <col min="5" max="5" width="3" customWidth="1"/>
    <col min="6" max="6" width="34.9140625" customWidth="1"/>
    <col min="7" max="7" width="13.4140625" customWidth="1"/>
    <col min="8" max="8" width="10.9140625" customWidth="1"/>
    <col min="9" max="9" width="10.9140625" style="3" customWidth="1"/>
    <col min="10" max="10" width="10.9140625" customWidth="1"/>
    <col min="11" max="11" width="3" customWidth="1"/>
    <col min="12" max="12" width="32.9140625" customWidth="1"/>
    <col min="13" max="13" width="13.4140625" customWidth="1"/>
    <col min="14" max="14" width="12.58203125" customWidth="1"/>
    <col min="15" max="15" width="13.4140625" customWidth="1"/>
    <col min="16" max="16" width="10.9140625" customWidth="1"/>
    <col min="17" max="17" width="3" customWidth="1"/>
    <col min="18" max="18" width="12.58203125" customWidth="1"/>
    <col min="19" max="19" width="13.4140625" customWidth="1"/>
    <col min="20" max="20" width="10.9140625" customWidth="1"/>
    <col min="21" max="21" width="3" customWidth="1"/>
    <col min="22" max="22" width="32.9140625" customWidth="1"/>
    <col min="23" max="23" width="13.4140625" customWidth="1"/>
    <col min="24" max="24" width="12.58203125" customWidth="1"/>
    <col min="25" max="25" width="13.4140625" customWidth="1"/>
    <col min="27" max="27" width="3" customWidth="1"/>
    <col min="28" max="28" width="32.9140625" customWidth="1"/>
    <col min="29" max="29" width="13.4140625" customWidth="1"/>
    <col min="30" max="30" width="12.58203125" customWidth="1"/>
    <col min="31" max="31" width="13.4140625" customWidth="1"/>
    <col min="32" max="32" width="10.9140625" customWidth="1"/>
    <col min="33" max="33" width="3" customWidth="1"/>
    <col min="34" max="34" width="13.4140625" customWidth="1"/>
    <col min="39" max="39" width="10.9140625" customWidth="1"/>
    <col min="40" max="40" width="3" customWidth="1"/>
    <col min="41" max="42" width="28.9140625" customWidth="1"/>
    <col min="43" max="43" width="13.4140625" customWidth="1"/>
  </cols>
  <sheetData>
    <row r="1" spans="2:26">
      <c r="D1" s="35"/>
      <c r="I1"/>
    </row>
    <row r="2" spans="2:26" ht="18.5">
      <c r="B2" s="66" t="s">
        <v>85</v>
      </c>
      <c r="C2" s="69"/>
      <c r="D2" s="70"/>
      <c r="E2" s="69"/>
      <c r="F2" s="71"/>
      <c r="G2" s="69"/>
      <c r="H2" s="69"/>
      <c r="I2" s="71"/>
      <c r="J2" s="69"/>
      <c r="K2" s="69"/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2:26">
      <c r="D3" s="72"/>
      <c r="F3" s="4"/>
      <c r="I3" s="4"/>
      <c r="L3" s="4"/>
    </row>
    <row r="4" spans="2:26">
      <c r="B4" s="61" t="s">
        <v>86</v>
      </c>
      <c r="C4" s="218"/>
      <c r="D4" s="60"/>
      <c r="F4" s="4"/>
      <c r="I4" s="4"/>
      <c r="L4" s="4"/>
    </row>
    <row r="5" spans="2:26">
      <c r="B5" s="81"/>
      <c r="C5" s="226"/>
      <c r="D5" s="56"/>
      <c r="F5" s="4"/>
      <c r="I5" s="4"/>
      <c r="L5" s="4"/>
    </row>
    <row r="6" spans="2:26">
      <c r="B6" s="230" t="s">
        <v>87</v>
      </c>
      <c r="C6" s="228">
        <f>SUM(C7,C10)</f>
        <v>4262.91</v>
      </c>
      <c r="D6" s="56" t="s">
        <v>88</v>
      </c>
      <c r="F6" s="4"/>
      <c r="I6" s="4"/>
      <c r="L6" s="4"/>
    </row>
    <row r="7" spans="2:26">
      <c r="B7" s="76" t="s">
        <v>89</v>
      </c>
      <c r="C7" s="46">
        <f>SUM(C8:C9)</f>
        <v>4000</v>
      </c>
      <c r="D7" s="56"/>
      <c r="F7" s="4"/>
      <c r="I7" s="4"/>
      <c r="L7" s="4"/>
    </row>
    <row r="8" spans="2:26">
      <c r="B8" s="231" t="str">
        <f>B95</f>
        <v>Gehele plant</v>
      </c>
      <c r="C8" s="42">
        <f>C95</f>
        <v>2400</v>
      </c>
      <c r="D8" s="56"/>
      <c r="F8" s="4"/>
      <c r="I8" s="4"/>
      <c r="L8" s="4"/>
    </row>
    <row r="9" spans="2:26">
      <c r="B9" s="231" t="str">
        <f>B96</f>
        <v>Aren</v>
      </c>
      <c r="C9" s="42">
        <f>C96</f>
        <v>1600</v>
      </c>
      <c r="D9" s="56"/>
      <c r="F9" s="4"/>
      <c r="I9" s="4"/>
      <c r="L9" s="4"/>
    </row>
    <row r="10" spans="2:26">
      <c r="B10" s="143" t="s">
        <v>90</v>
      </c>
      <c r="C10" s="46">
        <f>SUM(C11:C12)</f>
        <v>262.91000000000003</v>
      </c>
      <c r="D10" s="56" t="s">
        <v>88</v>
      </c>
      <c r="F10" s="4"/>
      <c r="I10" s="4"/>
      <c r="L10" s="4"/>
    </row>
    <row r="11" spans="2:26">
      <c r="B11" s="231" t="s">
        <v>91</v>
      </c>
      <c r="C11" s="227">
        <v>262.91000000000003</v>
      </c>
      <c r="D11" s="56"/>
      <c r="F11" s="4"/>
      <c r="I11" s="4"/>
      <c r="L11" s="4"/>
    </row>
    <row r="12" spans="2:26">
      <c r="B12" s="231" t="s">
        <v>92</v>
      </c>
      <c r="C12" s="126"/>
      <c r="D12" s="56"/>
      <c r="F12" s="4"/>
      <c r="I12" s="4"/>
      <c r="L12" s="4"/>
    </row>
    <row r="13" spans="2:26">
      <c r="B13" s="81"/>
      <c r="C13" s="226"/>
      <c r="D13" s="56"/>
      <c r="F13" s="4"/>
      <c r="I13" s="4"/>
      <c r="L13" s="4"/>
    </row>
    <row r="14" spans="2:26">
      <c r="B14" s="230" t="s">
        <v>81</v>
      </c>
      <c r="C14" s="228">
        <f>SUM(C15:C20)</f>
        <v>2150.4</v>
      </c>
      <c r="D14" s="56" t="s">
        <v>88</v>
      </c>
      <c r="F14" s="4"/>
      <c r="I14" s="4"/>
      <c r="L14" s="4"/>
    </row>
    <row r="15" spans="2:26">
      <c r="B15" s="231" t="str">
        <f t="shared" ref="B15:C19" si="0">B43</f>
        <v>Grondgebruik</v>
      </c>
      <c r="C15" s="43">
        <f t="shared" si="0"/>
        <v>761</v>
      </c>
      <c r="D15" s="111"/>
      <c r="F15" s="4"/>
      <c r="I15" s="4"/>
      <c r="L15" s="4"/>
    </row>
    <row r="16" spans="2:26">
      <c r="B16" s="231" t="str">
        <f t="shared" si="0"/>
        <v>Gewasverzorging</v>
      </c>
      <c r="C16" s="43">
        <f t="shared" si="0"/>
        <v>460</v>
      </c>
      <c r="D16" s="56"/>
      <c r="F16" s="4"/>
      <c r="I16" s="4"/>
      <c r="L16" s="4"/>
    </row>
    <row r="17" spans="2:12">
      <c r="B17" s="231" t="str">
        <f t="shared" si="0"/>
        <v>Energieverbruik en water</v>
      </c>
      <c r="C17" s="43">
        <f t="shared" si="0"/>
        <v>100</v>
      </c>
      <c r="D17" s="56"/>
      <c r="F17" s="4"/>
      <c r="I17" s="4"/>
      <c r="L17" s="4"/>
    </row>
    <row r="18" spans="2:12">
      <c r="B18" s="231" t="str">
        <f t="shared" si="0"/>
        <v>Belastingen en verzekeringen</v>
      </c>
      <c r="C18" s="43">
        <f t="shared" si="0"/>
        <v>175</v>
      </c>
      <c r="D18" s="56"/>
      <c r="F18" s="4"/>
      <c r="I18" s="4"/>
      <c r="L18" s="4"/>
    </row>
    <row r="19" spans="2:12">
      <c r="B19" s="231" t="str">
        <f t="shared" si="0"/>
        <v>Onderhoud</v>
      </c>
      <c r="C19" s="43">
        <f t="shared" si="0"/>
        <v>205</v>
      </c>
      <c r="D19" s="56"/>
      <c r="F19" s="4"/>
      <c r="I19" s="4"/>
      <c r="L19" s="4"/>
    </row>
    <row r="20" spans="2:12">
      <c r="B20" s="231" t="s">
        <v>93</v>
      </c>
      <c r="C20" s="43">
        <f>C104</f>
        <v>449.4</v>
      </c>
      <c r="D20" s="56"/>
      <c r="F20" s="4"/>
      <c r="I20" s="4"/>
      <c r="L20" s="4"/>
    </row>
    <row r="21" spans="2:12">
      <c r="B21" s="55"/>
      <c r="C21" s="103"/>
      <c r="D21" s="56"/>
      <c r="F21" s="4"/>
      <c r="I21" s="4"/>
      <c r="L21" s="4"/>
    </row>
    <row r="22" spans="2:12">
      <c r="B22" s="230" t="s">
        <v>82</v>
      </c>
      <c r="C22" s="228">
        <f>C6-C14</f>
        <v>2112.5099999999998</v>
      </c>
      <c r="D22" s="56" t="s">
        <v>88</v>
      </c>
      <c r="F22" s="4"/>
      <c r="I22" s="4"/>
      <c r="L22" s="4"/>
    </row>
    <row r="23" spans="2:12">
      <c r="B23" s="55"/>
      <c r="C23" s="103"/>
      <c r="D23" s="56"/>
      <c r="F23" s="4"/>
      <c r="I23" s="4"/>
      <c r="L23" s="4"/>
    </row>
    <row r="24" spans="2:12">
      <c r="B24" s="230" t="s">
        <v>83</v>
      </c>
      <c r="C24" s="228">
        <f>SUM(C25:C31)</f>
        <v>1099.7472130595245</v>
      </c>
      <c r="D24" s="56" t="s">
        <v>88</v>
      </c>
      <c r="F24" s="4"/>
      <c r="I24" s="4"/>
      <c r="L24" s="4"/>
    </row>
    <row r="25" spans="2:12">
      <c r="B25" s="231" t="str">
        <f>B48</f>
        <v>Afschrijving &amp; aflossing teeltinvesteringen</v>
      </c>
      <c r="C25" s="42">
        <f>C48</f>
        <v>1099.7472130595245</v>
      </c>
      <c r="D25" s="56"/>
      <c r="F25" s="4"/>
      <c r="I25" s="4"/>
      <c r="L25" s="4"/>
    </row>
    <row r="26" spans="2:12">
      <c r="B26" s="231" t="s">
        <v>94</v>
      </c>
      <c r="C26" s="126"/>
      <c r="D26" s="56"/>
      <c r="F26" s="4"/>
      <c r="I26" s="4"/>
      <c r="L26" s="4"/>
    </row>
    <row r="27" spans="2:12">
      <c r="B27" s="231" t="s">
        <v>95</v>
      </c>
      <c r="C27" s="126"/>
      <c r="D27" s="56"/>
      <c r="F27" s="4"/>
      <c r="I27" s="4"/>
      <c r="L27" s="4"/>
    </row>
    <row r="28" spans="2:12">
      <c r="B28" s="231" t="s">
        <v>96</v>
      </c>
      <c r="C28" s="126"/>
      <c r="D28" s="56"/>
      <c r="F28" s="4"/>
      <c r="I28" s="4"/>
      <c r="L28" s="4"/>
    </row>
    <row r="29" spans="2:12">
      <c r="B29" s="231" t="s">
        <v>97</v>
      </c>
      <c r="C29" s="126"/>
      <c r="D29" s="56"/>
      <c r="F29" s="4"/>
      <c r="I29" s="4"/>
      <c r="L29" s="4"/>
    </row>
    <row r="30" spans="2:12">
      <c r="B30" s="231" t="s">
        <v>98</v>
      </c>
      <c r="C30" s="126"/>
      <c r="D30" s="56"/>
      <c r="F30" s="4"/>
      <c r="I30" s="4"/>
      <c r="L30" s="4"/>
    </row>
    <row r="31" spans="2:12">
      <c r="B31" s="231" t="s">
        <v>99</v>
      </c>
      <c r="C31" s="126"/>
      <c r="D31" s="56"/>
      <c r="F31" s="4"/>
      <c r="I31" s="4"/>
      <c r="L31" s="4"/>
    </row>
    <row r="32" spans="2:12">
      <c r="B32" s="55"/>
      <c r="C32" s="43"/>
      <c r="D32" s="56"/>
      <c r="F32" s="4"/>
      <c r="I32" s="4"/>
      <c r="L32" s="4"/>
    </row>
    <row r="33" spans="2:26">
      <c r="B33" s="230" t="s">
        <v>100</v>
      </c>
      <c r="C33" s="228">
        <f>C22-C24</f>
        <v>1012.7627869404753</v>
      </c>
      <c r="D33" s="56" t="s">
        <v>101</v>
      </c>
      <c r="F33" s="4"/>
      <c r="I33" s="4"/>
      <c r="L33" s="4"/>
    </row>
    <row r="34" spans="2:26">
      <c r="B34" s="57"/>
      <c r="C34" s="229"/>
      <c r="D34" s="58"/>
      <c r="F34" s="4"/>
      <c r="I34" s="4"/>
      <c r="L34" s="4"/>
    </row>
    <row r="35" spans="2:26">
      <c r="D35" s="72"/>
      <c r="F35" s="4"/>
      <c r="I35" s="4"/>
      <c r="L35" s="4"/>
    </row>
    <row r="36" spans="2:26" ht="18.5">
      <c r="B36" s="154" t="s">
        <v>102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2:26">
      <c r="I37" s="106"/>
    </row>
    <row r="38" spans="2:26" s="75" customFormat="1" ht="17">
      <c r="B38" s="74" t="s">
        <v>103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40" spans="2:26">
      <c r="B40" s="61" t="s">
        <v>104</v>
      </c>
      <c r="C40" s="218" t="str">
        <f>F65</f>
        <v>Grote lisdodde</v>
      </c>
      <c r="D40" s="60"/>
      <c r="F40" s="61" t="s">
        <v>105</v>
      </c>
      <c r="G40" s="105"/>
      <c r="H40" s="105"/>
      <c r="I40" s="110"/>
      <c r="J40" s="60"/>
      <c r="L40" s="61" t="s">
        <v>106</v>
      </c>
      <c r="M40" s="105"/>
      <c r="N40" s="105"/>
      <c r="O40" s="105"/>
      <c r="P40" s="60"/>
    </row>
    <row r="41" spans="2:26">
      <c r="B41" s="55"/>
      <c r="C41" s="103"/>
      <c r="D41" s="56"/>
      <c r="F41" s="76" t="s">
        <v>107</v>
      </c>
      <c r="G41" s="103"/>
      <c r="H41" s="103"/>
      <c r="I41" s="73"/>
      <c r="J41" s="56"/>
      <c r="L41" s="81"/>
      <c r="M41" s="103"/>
      <c r="N41" s="103"/>
      <c r="O41" s="103"/>
      <c r="P41" s="56"/>
    </row>
    <row r="42" spans="2:26" ht="16" thickBot="1">
      <c r="B42" s="76" t="s">
        <v>108</v>
      </c>
      <c r="C42" s="340" t="s">
        <v>109</v>
      </c>
      <c r="D42" s="341"/>
      <c r="F42" s="149" t="s">
        <v>110</v>
      </c>
      <c r="G42" s="103"/>
      <c r="H42" s="64" t="s">
        <v>111</v>
      </c>
      <c r="I42" s="43"/>
      <c r="J42" s="56"/>
      <c r="L42" s="163" t="str" cm="1">
        <f t="array" ref="L42:L58">CultCost01[[#All],[Gewasverzorging]]</f>
        <v>Gewasverzorging</v>
      </c>
      <c r="M42" s="63" t="s">
        <v>112</v>
      </c>
      <c r="N42" s="64" t="s">
        <v>111</v>
      </c>
      <c r="O42" s="46">
        <f>SUM(O43:O47,O50,O55,O58)</f>
        <v>460</v>
      </c>
      <c r="P42" s="111" t="s">
        <v>88</v>
      </c>
    </row>
    <row r="43" spans="2:26" ht="16.5" thickTop="1" thickBot="1">
      <c r="B43" s="55" t="str">
        <f>F41</f>
        <v>Grondgebruik</v>
      </c>
      <c r="C43" s="42">
        <f>I43</f>
        <v>761</v>
      </c>
      <c r="D43" s="56" t="s">
        <v>88</v>
      </c>
      <c r="F43" s="62" t="s">
        <v>389</v>
      </c>
      <c r="G43" s="103"/>
      <c r="H43" s="126"/>
      <c r="I43" s="41">
        <f>IF(ISBLANK(H43),_xlfn.XLOOKUP(F43,PachtPrijs[Pachtprijs - per regio],PachtPrijs[Regionorm 2020]),H43)</f>
        <v>761</v>
      </c>
      <c r="J43" s="111" t="s">
        <v>88</v>
      </c>
      <c r="L43" s="55" t="str">
        <v>Meststoffen</v>
      </c>
      <c r="M43" s="49" t="s">
        <v>114</v>
      </c>
      <c r="N43" s="45"/>
      <c r="O43" s="107" cm="1">
        <f t="array" ref="O43">IF(ISBLANK(N43),INDEX(CultCost01[[#All],[Geen]:[Waarde MIN]],_xlfn.XMATCH('Grote lisdodde'!L43,CultCost01[[#All],[Gewasverzorging]]),_xlfn.XMATCH('Grote lisdodde'!M43,CultCost01[[#Headers],[Geen]:[Waarde MIN]])),N43)</f>
        <v>0</v>
      </c>
      <c r="P43" s="56" t="s">
        <v>88</v>
      </c>
    </row>
    <row r="44" spans="2:26" ht="16.5" thickTop="1" thickBot="1">
      <c r="B44" s="55" t="str">
        <f>L42</f>
        <v>Gewasverzorging</v>
      </c>
      <c r="C44" s="42">
        <f>O42</f>
        <v>460</v>
      </c>
      <c r="D44" s="56" t="s">
        <v>88</v>
      </c>
      <c r="F44" s="55"/>
      <c r="G44" s="103"/>
      <c r="H44" s="103"/>
      <c r="I44" s="43"/>
      <c r="J44" s="56"/>
      <c r="L44" s="55" t="str">
        <v>Gewasbeschermingsmiddelen</v>
      </c>
      <c r="M44" s="49" t="s">
        <v>114</v>
      </c>
      <c r="N44" s="45"/>
      <c r="O44" s="107" cm="1">
        <f t="array" ref="O44">IF(ISBLANK(N44),INDEX(CultCost01[[#All],[Geen]:[Waarde MIN]],_xlfn.XMATCH('Grote lisdodde'!L44,CultCost01[[#All],[Gewasverzorging]]),_xlfn.XMATCH('Grote lisdodde'!M44,CultCost01[[#Headers],[Geen]:[Waarde MIN]])),N44)</f>
        <v>0</v>
      </c>
      <c r="P44" s="56" t="s">
        <v>88</v>
      </c>
    </row>
    <row r="45" spans="2:26" ht="16.5" thickTop="1" thickBot="1">
      <c r="B45" s="55" t="str">
        <f>L60</f>
        <v>Energieverbruik en water</v>
      </c>
      <c r="C45" s="42">
        <f>O60</f>
        <v>100</v>
      </c>
      <c r="D45" s="56" t="s">
        <v>88</v>
      </c>
      <c r="F45" s="76" t="s">
        <v>115</v>
      </c>
      <c r="G45" s="63" t="s">
        <v>112</v>
      </c>
      <c r="H45" s="64" t="s">
        <v>111</v>
      </c>
      <c r="I45" s="46">
        <f>SUM(I48,I51,I54,I57,I58,I59,I60,I61,I62)</f>
        <v>7300</v>
      </c>
      <c r="J45" s="111" t="s">
        <v>88</v>
      </c>
      <c r="L45" s="114" t="str">
        <v>Ongediertebestrijding - uren</v>
      </c>
      <c r="M45" s="49" t="s">
        <v>79</v>
      </c>
      <c r="N45" s="45"/>
      <c r="O45" s="169" cm="1">
        <f t="array" ref="O45">IF(ISBLANK(N45),INDEX(CultCost01[[#All],[Geen]:[Waarde MIN]],_xlfn.XMATCH('Grote lisdodde'!L45,CultCost01[[#All],[Gewasverzorging]]),_xlfn.XMATCH('Grote lisdodde'!M45,CultCost01[[#Headers],[Geen]:[Waarde MIN]])),N45)</f>
        <v>5</v>
      </c>
      <c r="P45" s="116" t="s">
        <v>116</v>
      </c>
    </row>
    <row r="46" spans="2:26" ht="16.5" thickTop="1" thickBot="1">
      <c r="B46" s="55" t="str">
        <f>L65</f>
        <v>Belastingen en verzekeringen</v>
      </c>
      <c r="C46" s="42">
        <f>O65</f>
        <v>175</v>
      </c>
      <c r="D46" s="56" t="s">
        <v>88</v>
      </c>
      <c r="F46" s="114" t="str" cm="1">
        <f t="array" ref="F46:F62">CultInvest01[Teelt - Investeringen perceel]</f>
        <v>Grondverzet - uren per hectare</v>
      </c>
      <c r="G46" s="49" t="s">
        <v>79</v>
      </c>
      <c r="H46" s="45"/>
      <c r="I46" s="108" cm="1">
        <f t="array" ref="I46">IF(ISBLANK(H46),INDEX(CultInvest01[[#All],[Geen]:[Waarde MIN]],_xlfn.XMATCH('Grote lisdodde'!F46,CultInvest01[[#All],[Teelt - Investeringen perceel]]),_xlfn.XMATCH('Grote lisdodde'!G46,CultInvest01[[#Headers],[Geen]:[Waarde MIN]])),H46)</f>
        <v>40</v>
      </c>
      <c r="J46" s="109" t="s">
        <v>116</v>
      </c>
      <c r="L46" s="114" t="str">
        <v>Ongediertebestrijding - tarief</v>
      </c>
      <c r="M46" s="49" t="s">
        <v>79</v>
      </c>
      <c r="N46" s="45"/>
      <c r="O46" s="115" cm="1">
        <f t="array" ref="O46">IF(ISBLANK(N46),INDEX(CultCost01[[#All],[Geen]:[Waarde MIN]],_xlfn.XMATCH('Grote lisdodde'!L46,CultCost01[[#All],[Gewasverzorging]]),_xlfn.XMATCH('Grote lisdodde'!M46,CultCost01[[#Headers],[Geen]:[Waarde MIN]])),N46)</f>
        <v>25</v>
      </c>
      <c r="P46" s="116" t="s">
        <v>117</v>
      </c>
    </row>
    <row r="47" spans="2:26" ht="16.5" thickTop="1" thickBot="1">
      <c r="B47" s="55" t="str">
        <f>L69</f>
        <v>Onderhoud</v>
      </c>
      <c r="C47" s="42">
        <f>O69</f>
        <v>205</v>
      </c>
      <c r="D47" s="56" t="s">
        <v>88</v>
      </c>
      <c r="F47" s="114" t="str">
        <v>Grondverzet - prijs per uur</v>
      </c>
      <c r="G47" s="49" t="s">
        <v>79</v>
      </c>
      <c r="H47" s="45"/>
      <c r="I47" s="108" cm="1">
        <f t="array" ref="I47">IF(ISBLANK(H47),INDEX(CultInvest01[[#All],[Geen]:[Waarde MIN]],_xlfn.XMATCH('Grote lisdodde'!F47,CultInvest01[[#All],[Teelt - Investeringen perceel]]),_xlfn.XMATCH('Grote lisdodde'!G47,CultInvest01[[#Headers],[Geen]:[Waarde MIN]])),H47)</f>
        <v>95</v>
      </c>
      <c r="J47" s="109" t="s">
        <v>117</v>
      </c>
      <c r="L47" s="55" t="str">
        <v>Ongediertebestrijding</v>
      </c>
      <c r="M47" s="42">
        <f>O45*O46</f>
        <v>125</v>
      </c>
      <c r="N47" s="45"/>
      <c r="O47" s="107">
        <f>IF(ISBLANK(N47),M47,N47)</f>
        <v>125</v>
      </c>
      <c r="P47" s="56" t="s">
        <v>88</v>
      </c>
    </row>
    <row r="48" spans="2:26" ht="16.5" thickTop="1" thickBot="1">
      <c r="B48" s="219" t="str">
        <f>L78</f>
        <v>Afschrijving &amp; aflossing teeltinvesteringen</v>
      </c>
      <c r="C48" s="40">
        <f>O78</f>
        <v>1099.7472130595245</v>
      </c>
      <c r="D48" s="220" t="s">
        <v>88</v>
      </c>
      <c r="F48" s="55" t="str">
        <v>Grondverzet - totaal</v>
      </c>
      <c r="G48" s="42">
        <f>I46*I47</f>
        <v>3800</v>
      </c>
      <c r="H48" s="45"/>
      <c r="I48" s="107">
        <f>IF(ISBLANK(H48),G48,H48)</f>
        <v>3800</v>
      </c>
      <c r="J48" s="56" t="s">
        <v>88</v>
      </c>
      <c r="L48" s="114" t="str">
        <v>Dijkbeheer &amp; slootonderhoud - uren</v>
      </c>
      <c r="M48" s="49" t="s">
        <v>79</v>
      </c>
      <c r="N48" s="45"/>
      <c r="O48" s="169" cm="1">
        <f t="array" ref="O48">IF(ISBLANK(N48),INDEX(CultCost01[[#All],[Geen]:[Waarde MIN]],_xlfn.XMATCH('Grote lisdodde'!L48,CultCost01[[#All],[Gewasverzorging]]),_xlfn.XMATCH('Grote lisdodde'!M48,CultCost01[[#Headers],[Geen]:[Waarde MIN]])),N48)</f>
        <v>2.2000000000000002</v>
      </c>
      <c r="P48" s="116" t="s">
        <v>116</v>
      </c>
    </row>
    <row r="49" spans="2:16" ht="16.5" thickTop="1" thickBot="1">
      <c r="B49" s="76" t="s">
        <v>118</v>
      </c>
      <c r="C49" s="46">
        <f>SUM(C43:C48)</f>
        <v>2800.7472130595243</v>
      </c>
      <c r="D49" s="111" t="s">
        <v>88</v>
      </c>
      <c r="F49" s="114" t="str">
        <v>Grondtoevoer - kuub per hectare</v>
      </c>
      <c r="G49" s="49" t="s">
        <v>79</v>
      </c>
      <c r="H49" s="45"/>
      <c r="I49" s="108" cm="1">
        <f t="array" ref="I49">IF(ISBLANK(H49),INDEX(CultInvest01[[#All],[Geen]:[Waarde MIN]],_xlfn.XMATCH('Grote lisdodde'!F49,CultInvest01[[#All],[Teelt - Investeringen perceel]]),_xlfn.XMATCH('Grote lisdodde'!G49,CultInvest01[[#Headers],[Geen]:[Waarde MIN]])),H49)</f>
        <v>400</v>
      </c>
      <c r="J49" s="112" t="s">
        <v>119</v>
      </c>
      <c r="L49" s="114" t="str">
        <v>Dijkbeheer &amp; slootonderhoud - tarief</v>
      </c>
      <c r="M49" s="49" t="s">
        <v>79</v>
      </c>
      <c r="N49" s="45"/>
      <c r="O49" s="115" cm="1">
        <f t="array" ref="O49">IF(ISBLANK(N49),INDEX(CultCost01[[#All],[Geen]:[Waarde MIN]],_xlfn.XMATCH('Grote lisdodde'!L49,CultCost01[[#All],[Gewasverzorging]]),_xlfn.XMATCH('Grote lisdodde'!M49,CultCost01[[#Headers],[Geen]:[Waarde MIN]])),N49)</f>
        <v>25</v>
      </c>
      <c r="P49" s="116" t="s">
        <v>117</v>
      </c>
    </row>
    <row r="50" spans="2:16" ht="16.5" thickTop="1" thickBot="1">
      <c r="B50" s="55"/>
      <c r="C50" s="103"/>
      <c r="D50" s="56"/>
      <c r="F50" s="114" t="str">
        <v>Grondtoevoer - prijs per kuub</v>
      </c>
      <c r="G50" s="49" t="s">
        <v>79</v>
      </c>
      <c r="H50" s="45"/>
      <c r="I50" s="108" cm="1">
        <f t="array" ref="I50">IF(ISBLANK(H50),INDEX(CultInvest01[[#All],[Geen]:[Waarde MIN]],_xlfn.XMATCH('Grote lisdodde'!F50,CultInvest01[[#All],[Teelt - Investeringen perceel]]),_xlfn.XMATCH('Grote lisdodde'!G50,CultInvest01[[#Headers],[Geen]:[Waarde MIN]])),H50)</f>
        <v>3</v>
      </c>
      <c r="J50" s="112" t="s">
        <v>120</v>
      </c>
      <c r="L50" s="55" t="str">
        <v>Dijkbeheer &amp; slootonderhoud</v>
      </c>
      <c r="M50" s="42">
        <f>O48*O49</f>
        <v>55.000000000000007</v>
      </c>
      <c r="N50" s="45"/>
      <c r="O50" s="107">
        <f>IF(ISBLANK(N50),M50,N50)</f>
        <v>55.000000000000007</v>
      </c>
      <c r="P50" s="56" t="s">
        <v>88</v>
      </c>
    </row>
    <row r="51" spans="2:16" ht="16.5" thickTop="1" thickBot="1">
      <c r="B51" s="76" t="s">
        <v>121</v>
      </c>
      <c r="C51" s="340" t="s">
        <v>109</v>
      </c>
      <c r="D51" s="341"/>
      <c r="F51" s="55" t="str">
        <v>Grondtoevoer - totaal</v>
      </c>
      <c r="G51" s="42">
        <f>I49*I50</f>
        <v>1200</v>
      </c>
      <c r="H51" s="45"/>
      <c r="I51" s="107">
        <f>IF(ISBLANK(H51),G51,H51)</f>
        <v>1200</v>
      </c>
      <c r="J51" s="56" t="s">
        <v>88</v>
      </c>
      <c r="L51" s="114" t="str">
        <v>Gewasverzorging - uren medewerker</v>
      </c>
      <c r="M51" s="49" t="s">
        <v>79</v>
      </c>
      <c r="N51" s="45"/>
      <c r="O51" s="108" cm="1">
        <f t="array" ref="O51">IF(ISBLANK(N51),INDEX(CultCost01[[#All],[Geen]:[Waarde MIN]],_xlfn.XMATCH('Grote lisdodde'!L51,CultCost01[[#All],[Gewasverzorging]]),_xlfn.XMATCH('Grote lisdodde'!M51,CultCost01[[#Headers],[Geen]:[Waarde MIN]])),N51)</f>
        <v>10</v>
      </c>
      <c r="P51" s="112" t="s">
        <v>116</v>
      </c>
    </row>
    <row r="52" spans="2:16" ht="16.5" thickTop="1" thickBot="1">
      <c r="B52" s="55" t="s">
        <v>122</v>
      </c>
      <c r="C52" s="42">
        <f>I45</f>
        <v>7300</v>
      </c>
      <c r="D52" s="56" t="s">
        <v>88</v>
      </c>
      <c r="F52" s="114" t="str">
        <v>Watertoevoer - meter leiding per hectare</v>
      </c>
      <c r="G52" s="49" t="s">
        <v>79</v>
      </c>
      <c r="H52" s="45"/>
      <c r="I52" s="108" cm="1">
        <f t="array" ref="I52">IF(ISBLANK(H52),INDEX(CultInvest01[[#All],[Geen]:[Waarde MIN]],_xlfn.XMATCH('Grote lisdodde'!F52,CultInvest01[[#All],[Teelt - Investeringen perceel]]),_xlfn.XMATCH('Grote lisdodde'!G52,CultInvest01[[#Headers],[Geen]:[Waarde MIN]])),H52)</f>
        <v>10</v>
      </c>
      <c r="J52" s="112" t="s">
        <v>123</v>
      </c>
      <c r="L52" s="114" t="str">
        <v>Medewerker - tarief per uur</v>
      </c>
      <c r="M52" s="49" t="s">
        <v>79</v>
      </c>
      <c r="N52" s="45"/>
      <c r="O52" s="108" cm="1">
        <f t="array" ref="O52">IF(ISBLANK(N52),INDEX(CultCost01[[#All],[Geen]:[Waarde MIN]],_xlfn.XMATCH('Grote lisdodde'!L52,CultCost01[[#All],[Gewasverzorging]]),_xlfn.XMATCH('Grote lisdodde'!M52,CultCost01[[#Headers],[Geen]:[Waarde MIN]])),N52)</f>
        <v>25</v>
      </c>
      <c r="P52" s="112" t="s">
        <v>117</v>
      </c>
    </row>
    <row r="53" spans="2:16" ht="16.5" thickTop="1" thickBot="1">
      <c r="B53" s="77" t="s">
        <v>124</v>
      </c>
      <c r="C53" s="198">
        <f>I66</f>
        <v>4115</v>
      </c>
      <c r="D53" s="220" t="s">
        <v>88</v>
      </c>
      <c r="F53" s="114" t="str">
        <v>Watertoevoer - prijs per meter leiding</v>
      </c>
      <c r="G53" s="49" t="s">
        <v>79</v>
      </c>
      <c r="H53" s="45"/>
      <c r="I53" s="108" cm="1">
        <f t="array" ref="I53">IF(ISBLANK(H53),INDEX(CultInvest01[[#All],[Geen]:[Waarde MIN]],_xlfn.XMATCH('Grote lisdodde'!F53,CultInvest01[[#All],[Teelt - Investeringen perceel]]),_xlfn.XMATCH('Grote lisdodde'!G53,CultInvest01[[#Headers],[Geen]:[Waarde MIN]])),H53)</f>
        <v>10</v>
      </c>
      <c r="J53" s="112" t="s">
        <v>125</v>
      </c>
      <c r="L53" s="114" t="str">
        <v xml:space="preserve">Gewasverzorging - uren management </v>
      </c>
      <c r="M53" s="49" t="s">
        <v>79</v>
      </c>
      <c r="N53" s="45"/>
      <c r="O53" s="108" cm="1">
        <f t="array" ref="O53">IF(ISBLANK(N53),INDEX(CultCost01[[#All],[Geen]:[Waarde MIN]],_xlfn.XMATCH('Grote lisdodde'!L53,CultCost01[[#All],[Gewasverzorging]]),_xlfn.XMATCH('Grote lisdodde'!M53,CultCost01[[#Headers],[Geen]:[Waarde MIN]])),N53)</f>
        <v>1</v>
      </c>
      <c r="P53" s="112" t="s">
        <v>116</v>
      </c>
    </row>
    <row r="54" spans="2:16" ht="16.5" thickTop="1" thickBot="1">
      <c r="B54" s="78" t="s">
        <v>118</v>
      </c>
      <c r="C54" s="147">
        <f>SUM(C52:C53)</f>
        <v>11415</v>
      </c>
      <c r="D54" s="148" t="s">
        <v>88</v>
      </c>
      <c r="F54" s="125" t="str">
        <v>Watertoevoer - totaal</v>
      </c>
      <c r="G54" s="42">
        <f>I52*I53</f>
        <v>100</v>
      </c>
      <c r="H54" s="45"/>
      <c r="I54" s="107">
        <f>IF(ISBLANK(H54),G54,H54)</f>
        <v>100</v>
      </c>
      <c r="J54" s="56" t="s">
        <v>88</v>
      </c>
      <c r="L54" s="114" t="str">
        <v>Manager - tarief per uur</v>
      </c>
      <c r="M54" s="49" t="s">
        <v>114</v>
      </c>
      <c r="N54" s="45"/>
      <c r="O54" s="108" cm="1">
        <f t="array" ref="O54">IF(ISBLANK(N54),INDEX(CultCost01[[#All],[Geen]:[Waarde MIN]],_xlfn.XMATCH('Grote lisdodde'!L54,CultCost01[[#All],[Gewasverzorging]]),_xlfn.XMATCH('Grote lisdodde'!M54,CultCost01[[#Headers],[Geen]:[Waarde MIN]])),N54)</f>
        <v>0</v>
      </c>
      <c r="P54" s="112" t="s">
        <v>117</v>
      </c>
    </row>
    <row r="55" spans="2:16" ht="16.5" thickTop="1" thickBot="1">
      <c r="F55" s="114" t="str">
        <v>Waterafvoer - meter leiding per hectare</v>
      </c>
      <c r="G55" s="49" t="s">
        <v>79</v>
      </c>
      <c r="H55" s="45"/>
      <c r="I55" s="108" cm="1">
        <f t="array" ref="I55">IF(ISBLANK(H55),INDEX(CultInvest01[[#All],[Geen]:[Waarde MIN]],_xlfn.XMATCH('Grote lisdodde'!F55,CultInvest01[[#All],[Teelt - Investeringen perceel]]),_xlfn.XMATCH('Grote lisdodde'!G55,CultInvest01[[#Headers],[Geen]:[Waarde MIN]])),H55)</f>
        <v>10</v>
      </c>
      <c r="J55" s="112" t="s">
        <v>123</v>
      </c>
      <c r="L55" s="55" t="str">
        <v>Gewasverzorging - eigen arbeidsuren</v>
      </c>
      <c r="M55" s="42">
        <f>SUM(O51*O52,O53*O54)</f>
        <v>250</v>
      </c>
      <c r="N55" s="45"/>
      <c r="O55" s="107">
        <f>IF(ISBLANK(N55),M55,N55)</f>
        <v>250</v>
      </c>
      <c r="P55" s="56" t="s">
        <v>88</v>
      </c>
    </row>
    <row r="56" spans="2:16" ht="16.5" thickTop="1" thickBot="1">
      <c r="F56" s="114" t="str">
        <v>Waterafvoer - prijs per meter leiding</v>
      </c>
      <c r="G56" s="49" t="s">
        <v>79</v>
      </c>
      <c r="H56" s="45"/>
      <c r="I56" s="108" cm="1">
        <f t="array" ref="I56">IF(ISBLANK(H56),INDEX(CultInvest01[[#All],[Geen]:[Waarde MIN]],_xlfn.XMATCH('Grote lisdodde'!F56,CultInvest01[[#All],[Teelt - Investeringen perceel]]),_xlfn.XMATCH('Grote lisdodde'!G56,CultInvest01[[#Headers],[Geen]:[Waarde MIN]])),H56)</f>
        <v>10</v>
      </c>
      <c r="J56" s="112" t="s">
        <v>125</v>
      </c>
      <c r="L56" s="114" t="str">
        <v>Gewasverzorging - uren inhuur derden</v>
      </c>
      <c r="M56" s="49" t="s">
        <v>114</v>
      </c>
      <c r="N56" s="45"/>
      <c r="O56" s="108" cm="1">
        <f t="array" ref="O56">IF(ISBLANK(N56),INDEX(CultCost01[[#All],[Geen]:[Waarde MIN]],_xlfn.XMATCH('Grote lisdodde'!L56,CultCost01[[#All],[Gewasverzorging]]),_xlfn.XMATCH('Grote lisdodde'!M56,CultCost01[[#Headers],[Geen]:[Waarde MIN]])),N56)</f>
        <v>0</v>
      </c>
      <c r="P56" s="112" t="s">
        <v>116</v>
      </c>
    </row>
    <row r="57" spans="2:16" ht="16.5" thickTop="1" thickBot="1">
      <c r="F57" s="55" t="str">
        <v>Waterafvoer - totaal</v>
      </c>
      <c r="G57" s="42">
        <f>I55*I56</f>
        <v>100</v>
      </c>
      <c r="H57" s="45"/>
      <c r="I57" s="107">
        <f>IF(ISBLANK(H57),G57,H57)</f>
        <v>100</v>
      </c>
      <c r="J57" s="56" t="s">
        <v>88</v>
      </c>
      <c r="L57" s="114" t="str">
        <v>Gewasverzorging - tarief inhuur derden</v>
      </c>
      <c r="M57" s="49" t="s">
        <v>114</v>
      </c>
      <c r="N57" s="45"/>
      <c r="O57" s="108" cm="1">
        <f t="array" ref="O57">IF(ISBLANK(N57),INDEX(CultCost01[[#All],[Geen]:[Waarde MIN]],_xlfn.XMATCH('Grote lisdodde'!L57,CultCost01[[#All],[Gewasverzorging]]),_xlfn.XMATCH('Grote lisdodde'!M57,CultCost01[[#Headers],[Geen]:[Waarde MIN]])),N57)</f>
        <v>0</v>
      </c>
      <c r="P57" s="112" t="s">
        <v>117</v>
      </c>
    </row>
    <row r="58" spans="2:16" ht="16.5" thickTop="1" thickBot="1">
      <c r="F58" s="55" t="str">
        <v>Pompen - aanschaf incl. stroomvoorziening</v>
      </c>
      <c r="G58" s="49" t="s">
        <v>79</v>
      </c>
      <c r="H58" s="45"/>
      <c r="I58" s="107" cm="1">
        <f t="array" ref="I58">IF(ISBLANK(H58),INDEX(CultInvest01[[#All],[Geen]:[Waarde MIN]],_xlfn.XMATCH('Grote lisdodde'!F58,CultInvest01[[#All],[Teelt - Investeringen perceel]]),_xlfn.XMATCH('Grote lisdodde'!G58,CultInvest01[[#Headers],[Geen]:[Waarde MIN]])),H58)</f>
        <v>1700</v>
      </c>
      <c r="J58" s="56" t="s">
        <v>88</v>
      </c>
      <c r="L58" s="55" t="str">
        <v>Gewasverzorging - inhuur derden</v>
      </c>
      <c r="M58" s="103">
        <f>O56*O57</f>
        <v>0</v>
      </c>
      <c r="N58" s="45"/>
      <c r="O58" s="107">
        <f>IF(ISBLANK(N58),M58,N58)</f>
        <v>0</v>
      </c>
      <c r="P58" s="56" t="s">
        <v>88</v>
      </c>
    </row>
    <row r="59" spans="2:16" ht="16.5" thickTop="1" thickBot="1">
      <c r="F59" s="55" t="str">
        <v>Waterpeilbeheersing (schuiven, slibkisten, etc.)</v>
      </c>
      <c r="G59" s="49" t="s">
        <v>114</v>
      </c>
      <c r="H59" s="45"/>
      <c r="I59" s="107" cm="1">
        <f t="array" ref="I59">IF(ISBLANK(H59),INDEX(CultInvest01[[#All],[Geen]:[Waarde MIN]],_xlfn.XMATCH('Grote lisdodde'!F59,CultInvest01[[#All],[Teelt - Investeringen perceel]]),_xlfn.XMATCH('Grote lisdodde'!G59,CultInvest01[[#Headers],[Geen]:[Waarde MIN]])),H59)</f>
        <v>0</v>
      </c>
      <c r="J59" s="56" t="s">
        <v>88</v>
      </c>
      <c r="L59" s="55"/>
      <c r="M59" s="103"/>
      <c r="N59" s="103"/>
      <c r="O59" s="103"/>
      <c r="P59" s="56"/>
    </row>
    <row r="60" spans="2:16" ht="16.5" thickTop="1" thickBot="1">
      <c r="F60" s="55" t="str">
        <v>Afrastering &amp; vraatbescherming</v>
      </c>
      <c r="G60" s="49" t="s">
        <v>126</v>
      </c>
      <c r="H60" s="45"/>
      <c r="I60" s="107" cm="1">
        <f t="array" ref="I60">IF(ISBLANK(H60),INDEX(CultInvest01[[#All],[Geen]:[Waarde MIN]],_xlfn.XMATCH('Grote lisdodde'!F60,CultInvest01[[#All],[Teelt - Investeringen perceel]]),_xlfn.XMATCH('Grote lisdodde'!G60,CultInvest01[[#Headers],[Geen]:[Waarde MIN]])),H60)</f>
        <v>250</v>
      </c>
      <c r="J60" s="56" t="s">
        <v>88</v>
      </c>
      <c r="L60" s="76" t="str" cm="1">
        <f t="array" ref="L60:L63">CultCost02[[#All],[Energieverbruik en water]]</f>
        <v>Energieverbruik en water</v>
      </c>
      <c r="M60" s="63" t="s">
        <v>112</v>
      </c>
      <c r="N60" s="64" t="s">
        <v>111</v>
      </c>
      <c r="O60" s="46">
        <f>SUM(O61:O63)</f>
        <v>100</v>
      </c>
      <c r="P60" s="111" t="s">
        <v>88</v>
      </c>
    </row>
    <row r="61" spans="2:16" ht="16.5" thickTop="1" thickBot="1">
      <c r="F61" s="55" t="str">
        <v>Overige kosten (bijv. folie)</v>
      </c>
      <c r="G61" s="49" t="s">
        <v>114</v>
      </c>
      <c r="H61" s="45"/>
      <c r="I61" s="107" cm="1">
        <f t="array" ref="I61">IF(ISBLANK(H61),INDEX(CultInvest01[[#All],[Geen]:[Waarde MIN]],_xlfn.XMATCH('Grote lisdodde'!F61,CultInvest01[[#All],[Teelt - Investeringen perceel]]),_xlfn.XMATCH('Grote lisdodde'!G61,CultInvest01[[#Headers],[Geen]:[Waarde MIN]])),H61)</f>
        <v>0</v>
      </c>
      <c r="J61" s="56" t="s">
        <v>88</v>
      </c>
      <c r="L61" s="55" t="str">
        <v>Elektraverbruik irrigatie en peilbeheer</v>
      </c>
      <c r="M61" s="49" t="s">
        <v>79</v>
      </c>
      <c r="N61" s="45"/>
      <c r="O61" s="107" cm="1">
        <f t="array" ref="O61">IF(ISBLANK(N61),INDEX(CultCost02[[#All],[Geen]:[Waarde MIN]],_xlfn.XMATCH('Grote lisdodde'!L61,CultCost02[[#All],[Energieverbruik en water]]),_xlfn.XMATCH('Grote lisdodde'!M61,CultCost02[[#Headers],[Geen]:[Waarde MIN]])),N61)</f>
        <v>25</v>
      </c>
      <c r="P61" s="56" t="s">
        <v>88</v>
      </c>
    </row>
    <row r="62" spans="2:16" ht="16.5" thickTop="1" thickBot="1">
      <c r="F62" s="55" t="str">
        <v>Vergunningsaanvraag</v>
      </c>
      <c r="G62" s="49" t="s">
        <v>79</v>
      </c>
      <c r="H62" s="45"/>
      <c r="I62" s="107" cm="1">
        <f t="array" ref="I62">IF(ISBLANK(H62),INDEX(CultInvest01[[#All],[Geen]:[Waarde MIN]],_xlfn.XMATCH('Grote lisdodde'!F62,CultInvest01[[#All],[Teelt - Investeringen perceel]]),_xlfn.XMATCH('Grote lisdodde'!G62,CultInvest01[[#Headers],[Geen]:[Waarde MIN]])),H62)</f>
        <v>150</v>
      </c>
      <c r="J62" s="56" t="s">
        <v>88</v>
      </c>
      <c r="L62" s="55" t="str">
        <v xml:space="preserve">Elektraverbruik overig </v>
      </c>
      <c r="M62" s="49" t="s">
        <v>79</v>
      </c>
      <c r="N62" s="45"/>
      <c r="O62" s="107" cm="1">
        <f t="array" ref="O62">IF(ISBLANK(N62),INDEX(CultCost02[[#All],[Geen]:[Waarde MIN]],_xlfn.XMATCH('Grote lisdodde'!L62,CultCost02[[#All],[Energieverbruik en water]]),_xlfn.XMATCH('Grote lisdodde'!M62,CultCost02[[#Headers],[Geen]:[Waarde MIN]])),N62)</f>
        <v>25</v>
      </c>
      <c r="P62" s="56" t="s">
        <v>88</v>
      </c>
    </row>
    <row r="63" spans="2:16" ht="16.5" thickTop="1" thickBot="1">
      <c r="F63" s="55"/>
      <c r="G63" s="43"/>
      <c r="H63" s="107"/>
      <c r="I63" s="107"/>
      <c r="J63" s="56"/>
      <c r="L63" s="55" t="str">
        <v>Heffingen waterverbruik</v>
      </c>
      <c r="M63" s="49" t="s">
        <v>79</v>
      </c>
      <c r="N63" s="45"/>
      <c r="O63" s="107" cm="1">
        <f t="array" ref="O63">IF(ISBLANK(N63),INDEX(CultCost02[[#All],[Geen]:[Waarde MIN]],_xlfn.XMATCH('Grote lisdodde'!L63,CultCost02[[#All],[Energieverbruik en water]]),_xlfn.XMATCH('Grote lisdodde'!M63,CultCost02[[#Headers],[Geen]:[Waarde MIN]])),N63)</f>
        <v>50</v>
      </c>
      <c r="P63" s="56" t="s">
        <v>88</v>
      </c>
    </row>
    <row r="64" spans="2:16" ht="16.5" thickTop="1" thickBot="1">
      <c r="F64" s="76" t="s">
        <v>127</v>
      </c>
      <c r="G64" s="43"/>
      <c r="H64" s="107"/>
      <c r="I64" s="107"/>
      <c r="J64" s="56"/>
      <c r="L64" s="55"/>
      <c r="M64" s="103"/>
      <c r="N64" s="103"/>
      <c r="O64" s="103"/>
      <c r="P64" s="56"/>
    </row>
    <row r="65" spans="6:16" ht="16.5" thickTop="1" thickBot="1">
      <c r="F65" s="49" t="s">
        <v>78</v>
      </c>
      <c r="G65" s="43"/>
      <c r="H65" s="107"/>
      <c r="I65" s="107"/>
      <c r="J65" s="56"/>
      <c r="L65" s="76" t="str" cm="1">
        <f t="array" ref="L65:L67">CultCost03[[#All],[Belastingen en verzekeringen]]</f>
        <v>Belastingen en verzekeringen</v>
      </c>
      <c r="M65" s="63" t="s">
        <v>112</v>
      </c>
      <c r="N65" s="64" t="s">
        <v>111</v>
      </c>
      <c r="O65" s="79">
        <f>SUM(O66:O67)</f>
        <v>175</v>
      </c>
      <c r="P65" s="111" t="s">
        <v>88</v>
      </c>
    </row>
    <row r="66" spans="6:16" ht="16.5" thickTop="1" thickBot="1">
      <c r="F66" s="76" t="s">
        <v>128</v>
      </c>
      <c r="G66" s="63" t="s">
        <v>112</v>
      </c>
      <c r="H66" s="64" t="s">
        <v>111</v>
      </c>
      <c r="I66" s="41">
        <f>IF(F67='DATA - Variabelen &amp; waarden'!B42,SUM('Grote lisdodde'!I69,'Grote lisdodde'!I70,'Grote lisdodde'!I71,'Grote lisdodde'!I74,'Grote lisdodde'!I79),SUM('Grote lisdodde'!I69,'Grote lisdodde'!I70,'Grote lisdodde'!I75,'Grote lisdodde'!I77))</f>
        <v>4115</v>
      </c>
      <c r="J66" s="111" t="s">
        <v>88</v>
      </c>
      <c r="L66" s="55" t="str">
        <v>Waterschapsbelasting</v>
      </c>
      <c r="M66" s="49" t="s">
        <v>129</v>
      </c>
      <c r="N66" s="45"/>
      <c r="O66" s="119" cm="1">
        <f t="array" ref="O66">IF(ISBLANK(N66),INDEX(CultCost03[[#All],[Geen]:[Waarde MIN]],_xlfn.XMATCH('Grote lisdodde'!L66,CultCost03[[#All],[Belastingen en verzekeringen]]),_xlfn.XMATCH('Grote lisdodde'!M66,CultCost03[[#Headers],[Geen]:[Waarde MIN]])),N66)</f>
        <v>100</v>
      </c>
      <c r="P66" s="56" t="s">
        <v>88</v>
      </c>
    </row>
    <row r="67" spans="6:16" ht="16.5" thickTop="1" thickBot="1">
      <c r="F67" s="49" t="s">
        <v>130</v>
      </c>
      <c r="G67" s="43"/>
      <c r="H67" s="107"/>
      <c r="I67" s="107"/>
      <c r="J67" s="56"/>
      <c r="L67" s="55" t="str">
        <v>Verzekeringen</v>
      </c>
      <c r="M67" s="49" t="s">
        <v>79</v>
      </c>
      <c r="N67" s="45"/>
      <c r="O67" s="103" cm="1">
        <f t="array" ref="O67">IF(ISBLANK(N67),INDEX(CultCost03[[#All],[Geen]:[Waarde MIN]],_xlfn.XMATCH('Grote lisdodde'!L67,CultCost03[[#All],[Belastingen en verzekeringen]]),_xlfn.XMATCH('Grote lisdodde'!M67,CultCost03[[#Headers],[Geen]:[Waarde MIN]])),N67)</f>
        <v>75</v>
      </c>
      <c r="P67" s="56" t="s">
        <v>88</v>
      </c>
    </row>
    <row r="68" spans="6:16" ht="16.5" thickTop="1" thickBot="1">
      <c r="F68" s="76" t="s">
        <v>131</v>
      </c>
      <c r="G68" s="43"/>
      <c r="H68" s="107"/>
      <c r="I68" s="107"/>
      <c r="J68" s="56"/>
      <c r="L68" s="55"/>
      <c r="M68" s="103"/>
      <c r="N68" s="103"/>
      <c r="O68" s="103"/>
      <c r="P68" s="56"/>
    </row>
    <row r="69" spans="6:16" ht="16.5" thickTop="1" thickBot="1">
      <c r="F69" s="55" t="str" cm="1">
        <f t="array" ref="F69:F75">CultInvest02[Planten / Zaaien - Algemene kosten]</f>
        <v>Klaarmaken grond - grondbewerking</v>
      </c>
      <c r="G69" s="49" t="s">
        <v>126</v>
      </c>
      <c r="H69" s="45"/>
      <c r="I69" s="107" cm="1">
        <f t="array" ref="I69">IF(ISBLANK(H69),INDEX(CultInvest02[[#Headers],[#Data],[Geen]:[Waarde MIN]],_xlfn.XMATCH('Grote lisdodde'!F69,CultInvest02[[#Headers],[#Data],[Planten / Zaaien - Algemene kosten]]),_xlfn.XMATCH('Grote lisdodde'!G69,CultInvest02[[#Headers],[Geen]:[Waarde MIN]])),H69)</f>
        <v>65</v>
      </c>
      <c r="J69" s="56" t="s">
        <v>88</v>
      </c>
      <c r="L69" s="76" t="str" cm="1">
        <f t="array" ref="L69:L76">CultCost04[[#All],[Onderhoud]]</f>
        <v>Onderhoud</v>
      </c>
      <c r="M69" s="63" t="s">
        <v>112</v>
      </c>
      <c r="N69" s="64" t="s">
        <v>111</v>
      </c>
      <c r="O69" s="46">
        <f>SUM(O70:O76)</f>
        <v>205</v>
      </c>
      <c r="P69" s="111" t="s">
        <v>88</v>
      </c>
    </row>
    <row r="70" spans="6:16" ht="16.5" thickTop="1" thickBot="1">
      <c r="F70" s="55" t="str">
        <v>Klaarmaken grond - bodemverbeteraars/bemesting</v>
      </c>
      <c r="G70" s="49" t="s">
        <v>126</v>
      </c>
      <c r="H70" s="45"/>
      <c r="I70" s="107" cm="1">
        <f t="array" ref="I70">IF(ISBLANK(H70),INDEX(CultInvest02[[#Headers],[#Data],[Geen]:[Waarde MIN]],_xlfn.XMATCH('Grote lisdodde'!F70,CultInvest02[[#Headers],[#Data],[Planten / Zaaien - Algemene kosten]]),_xlfn.XMATCH('Grote lisdodde'!G70,CultInvest02[[#Headers],[Geen]:[Waarde MIN]])),H70)</f>
        <v>100</v>
      </c>
      <c r="J70" s="56" t="s">
        <v>88</v>
      </c>
      <c r="L70" s="55" t="str">
        <v>Grondverzet - totaal</v>
      </c>
      <c r="M70" s="49" t="s">
        <v>114</v>
      </c>
      <c r="N70" s="45"/>
      <c r="O70" s="43" cm="1">
        <f t="array" ref="O70">IF(ISBLANK(N70),(SUM(I48,I51)*INDEX(CultCost04[[#All],[Geen]:[Waarde MIN]],_xlfn.XMATCH('Grote lisdodde'!L70,CultCost04[[#All],[Onderhoud]]),_xlfn.XMATCH('Grote lisdodde'!M70,CultCost04[[#Headers],[Geen]:[Waarde MIN]]))),N70)</f>
        <v>0</v>
      </c>
      <c r="P70" s="56" t="s">
        <v>88</v>
      </c>
    </row>
    <row r="71" spans="6:16" ht="16.5" thickTop="1" thickBot="1">
      <c r="F71" s="55" t="str">
        <v>Plantkosten - machine</v>
      </c>
      <c r="G71" s="49" t="s">
        <v>79</v>
      </c>
      <c r="H71" s="45"/>
      <c r="I71" s="107" cm="1">
        <f t="array" ref="I71">IF(ISBLANK(H71),INDEX(CultInvest02[[#Headers],[#Data],[Geen]:[Waarde MIN]],_xlfn.XMATCH('Grote lisdodde'!F71,CultInvest02[[#Headers],[#Data],[Planten / Zaaien - Algemene kosten]]),_xlfn.XMATCH('Grote lisdodde'!G71,CultInvest02[[#Headers],[Geen]:[Waarde MIN]])),H71)</f>
        <v>450</v>
      </c>
      <c r="J71" s="56" t="s">
        <v>88</v>
      </c>
      <c r="L71" s="55" t="str">
        <v>Watertoevoer - totaal</v>
      </c>
      <c r="M71" s="49" t="s">
        <v>79</v>
      </c>
      <c r="N71" s="45"/>
      <c r="O71" s="42" cm="1">
        <f t="array" ref="O71">IF(ISBLANK(N71),(I54*INDEX(CultCost04[[#All],[Geen]:[Waarde MIN]],_xlfn.XMATCH('Grote lisdodde'!L71,CultCost04[[#All],[Onderhoud]]),_xlfn.XMATCH('Grote lisdodde'!M71,CultCost04[[#Headers],[Geen]:[Waarde MIN]]))),N71)</f>
        <v>5</v>
      </c>
      <c r="P71" s="56" t="s">
        <v>88</v>
      </c>
    </row>
    <row r="72" spans="6:16" ht="16.5" thickTop="1" thickBot="1">
      <c r="F72" s="114" t="str">
        <v>Plantkosten - uren per hectare</v>
      </c>
      <c r="G72" s="49" t="s">
        <v>126</v>
      </c>
      <c r="H72" s="45"/>
      <c r="I72" s="108" cm="1">
        <f t="array" ref="I72">IF(ISBLANK(H72),INDEX(CultInvest02[[#Headers],[#Data],[Geen]:[Waarde MIN]],_xlfn.XMATCH('Grote lisdodde'!F72,CultInvest02[[#Headers],[#Data],[Planten / Zaaien - Algemene kosten]]),_xlfn.XMATCH('Grote lisdodde'!G72,CultInvest02[[#Headers],[Geen]:[Waarde MIN]])),H72)</f>
        <v>20</v>
      </c>
      <c r="J72" s="112" t="s">
        <v>132</v>
      </c>
      <c r="L72" s="55" t="str">
        <v>Waterafvoer - totaal</v>
      </c>
      <c r="M72" s="49" t="s">
        <v>79</v>
      </c>
      <c r="N72" s="45"/>
      <c r="O72" s="42" cm="1">
        <f t="array" ref="O72">IF(ISBLANK(N72),(I57*INDEX(CultCost04[[#All],[Geen]:[Waarde MIN]],_xlfn.XMATCH('Grote lisdodde'!L72,CultCost04[[#All],[Onderhoud]]),_xlfn.XMATCH('Grote lisdodde'!M72,CultCost04[[#Headers],[Geen]:[Waarde MIN]]))),N72)</f>
        <v>5</v>
      </c>
      <c r="P72" s="56" t="s">
        <v>88</v>
      </c>
    </row>
    <row r="73" spans="6:16" ht="16.5" thickTop="1" thickBot="1">
      <c r="F73" s="114" t="str">
        <v>Plantkosten - prijs per uur</v>
      </c>
      <c r="G73" s="49" t="s">
        <v>79</v>
      </c>
      <c r="H73" s="45"/>
      <c r="I73" s="108" cm="1">
        <f t="array" ref="I73">IF(ISBLANK(H73),INDEX(CultInvest02[[#Headers],[#Data],[Geen]:[Waarde MIN]],_xlfn.XMATCH('Grote lisdodde'!F73,CultInvest02[[#Headers],[#Data],[Planten / Zaaien - Algemene kosten]]),_xlfn.XMATCH('Grote lisdodde'!G73,CultInvest02[[#Headers],[Geen]:[Waarde MIN]])),H73)</f>
        <v>25</v>
      </c>
      <c r="J73" s="112" t="s">
        <v>117</v>
      </c>
      <c r="L73" s="55" t="str">
        <v>Pompen - aanschaf incl. stroomvoorziening</v>
      </c>
      <c r="M73" s="49" t="s">
        <v>79</v>
      </c>
      <c r="N73" s="45"/>
      <c r="O73" s="42" cm="1">
        <f t="array" ref="O73">IF(ISBLANK(N73),(I58*INDEX(CultCost04[[#All],[Geen]:[Waarde MIN]],_xlfn.XMATCH('Grote lisdodde'!L73,CultCost04[[#All],[Onderhoud]]),_xlfn.XMATCH('Grote lisdodde'!M73,CultCost04[[#Headers],[Geen]:[Waarde MIN]]))),N73)</f>
        <v>170</v>
      </c>
      <c r="P73" s="56" t="s">
        <v>88</v>
      </c>
    </row>
    <row r="74" spans="6:16" ht="16.5" thickTop="1" thickBot="1">
      <c r="F74" s="55" t="str">
        <v>Plantkosten - arbeid totaal</v>
      </c>
      <c r="G74" s="43">
        <f>I72*I73</f>
        <v>500</v>
      </c>
      <c r="H74" s="45"/>
      <c r="I74" s="107">
        <f>IF(ISBLANK(H74),G74,H74)</f>
        <v>500</v>
      </c>
      <c r="J74" s="56" t="s">
        <v>88</v>
      </c>
      <c r="L74" s="55" t="str">
        <v>Waterpeilbeheersing (schuiven, slibkisten, etc.)</v>
      </c>
      <c r="M74" s="49" t="s">
        <v>79</v>
      </c>
      <c r="N74" s="45"/>
      <c r="O74" s="42" cm="1">
        <f t="array" ref="O74">IF(ISBLANK(N74),(I59*INDEX(CultCost04[[#All],[Geen]:[Waarde MIN]],_xlfn.XMATCH('Grote lisdodde'!L74,CultCost04[[#All],[Onderhoud]]),_xlfn.XMATCH('Grote lisdodde'!M74,CultCost04[[#Headers],[Geen]:[Waarde MIN]]))),N74)</f>
        <v>0</v>
      </c>
      <c r="P74" s="56" t="s">
        <v>88</v>
      </c>
    </row>
    <row r="75" spans="6:16" ht="16.5" thickTop="1" thickBot="1">
      <c r="F75" s="55" t="str">
        <v>Zaaikosten - machine + arbeid</v>
      </c>
      <c r="G75" s="49" t="s">
        <v>129</v>
      </c>
      <c r="H75" s="45"/>
      <c r="I75" s="107" cm="1">
        <f t="array" ref="I75">IF(ISBLANK(H75),INDEX(CultInvest02[[#Headers],[#Data],[Geen]:[Waarde MIN]],_xlfn.XMATCH('Grote lisdodde'!F75,CultInvest02[[#Headers],[#Data],[Planten / Zaaien - Algemene kosten]]),_xlfn.XMATCH('Grote lisdodde'!G75,CultInvest02[[#Headers],[Geen]:[Waarde MIN]])),H75)</f>
        <v>166.25</v>
      </c>
      <c r="J75" s="112" t="s">
        <v>117</v>
      </c>
      <c r="L75" s="55" t="str">
        <v>Afrastering &amp; vraatbescherming</v>
      </c>
      <c r="M75" s="49" t="s">
        <v>129</v>
      </c>
      <c r="N75" s="45"/>
      <c r="O75" s="42" cm="1">
        <f t="array" ref="O75">IF(ISBLANK(N75),(I60*INDEX(CultCost04[[#All],[Geen]:[Waarde MIN]],_xlfn.XMATCH('Grote lisdodde'!L75,CultCost04[[#All],[Onderhoud]]),_xlfn.XMATCH('Grote lisdodde'!M75,CultCost04[[#Headers],[Geen]:[Waarde MIN]]))),N75)</f>
        <v>25</v>
      </c>
      <c r="P75" s="56" t="s">
        <v>88</v>
      </c>
    </row>
    <row r="76" spans="6:16" ht="16.5" thickTop="1" thickBot="1">
      <c r="F76" s="76" t="s">
        <v>133</v>
      </c>
      <c r="G76" s="43"/>
      <c r="H76" s="107"/>
      <c r="I76" s="107"/>
      <c r="J76" s="56"/>
      <c r="L76" s="55" t="str">
        <v>Overige kosten (bijv. folie)</v>
      </c>
      <c r="M76" s="49" t="s">
        <v>79</v>
      </c>
      <c r="N76" s="45"/>
      <c r="O76" s="42" cm="1">
        <f t="array" ref="O76">IF(ISBLANK(N76),(I61*INDEX(CultCost04[[#All],[Geen]:[Waarde MIN]],_xlfn.XMATCH('Grote lisdodde'!L76,CultCost04[[#All],[Onderhoud]]),_xlfn.XMATCH('Grote lisdodde'!M76,CultCost04[[#Headers],[Geen]:[Waarde MIN]]))),N76)</f>
        <v>0</v>
      </c>
      <c r="P76" s="56" t="s">
        <v>88</v>
      </c>
    </row>
    <row r="77" spans="6:16" ht="16.5" thickTop="1" thickBot="1">
      <c r="F77" s="76"/>
      <c r="G77" s="49" t="s">
        <v>79</v>
      </c>
      <c r="H77" s="45"/>
      <c r="I77" s="107" cm="1">
        <f t="array" ref="I77">IF(ISBLANK(H77),INDEX(Zaaigoed[[Geen]:[Waarde MIN]],_xlfn.XMATCH('Grote lisdodde'!F65,Zaaigoed[Zaaigoed]),_xlfn.XMATCH('Grote lisdodde'!G77,Zaaigoed[[#Headers],[Geen]:[Waarde MIN]])),H77)</f>
        <v>300</v>
      </c>
      <c r="J77" s="56" t="s">
        <v>88</v>
      </c>
      <c r="L77" s="55"/>
      <c r="M77" s="103"/>
      <c r="N77" s="103"/>
      <c r="O77" s="103"/>
      <c r="P77" s="56"/>
    </row>
    <row r="78" spans="6:16" ht="16.5" thickTop="1" thickBot="1">
      <c r="F78" s="76" t="s">
        <v>134</v>
      </c>
      <c r="G78" s="43"/>
      <c r="H78" s="107"/>
      <c r="I78" s="107"/>
      <c r="J78" s="56"/>
      <c r="L78" s="76" t="str" cm="1">
        <f t="array" ref="L78:L83">CultCost05[[#All],[Afschrijving &amp; aflossing teeltinvesteringen]]</f>
        <v>Afschrijving &amp; aflossing teeltinvesteringen</v>
      </c>
      <c r="M78" s="63" t="s">
        <v>112</v>
      </c>
      <c r="N78" s="64" t="s">
        <v>111</v>
      </c>
      <c r="O78" s="46">
        <f>SUM(O81,O83)</f>
        <v>1099.7472130595245</v>
      </c>
      <c r="P78" s="111" t="s">
        <v>88</v>
      </c>
    </row>
    <row r="79" spans="6:16" ht="16.5" thickTop="1" thickBot="1">
      <c r="F79" s="76"/>
      <c r="G79" s="49" t="s">
        <v>126</v>
      </c>
      <c r="H79" s="45"/>
      <c r="I79" s="107" cm="1">
        <f t="array" ref="I79">IF(ISBLANK(H79),INDEX(Plantgoed[[Geen]:[Waarde MIN]],_xlfn.XMATCH('Grote lisdodde'!F65,Plantgoed[Plantgoed]),_xlfn.XMATCH('Grote lisdodde'!G79,Plantgoed[[#Headers],[Geen]:[Waarde MIN]])),H79)</f>
        <v>3000</v>
      </c>
      <c r="J79" s="56" t="s">
        <v>88</v>
      </c>
      <c r="L79" s="55" t="str">
        <v>Rentepercentage (wel/geen lening)</v>
      </c>
      <c r="M79" s="49" t="s">
        <v>79</v>
      </c>
      <c r="N79" s="50"/>
      <c r="O79" s="47" cm="1">
        <f t="array" ref="O79">IF(ISBLANK(N79),INDEX(CultCost05[[#All],[Geen]:[Waarde MIN]],_xlfn.XMATCH('Grote lisdodde'!L79,CultCost05[[#All],[Afschrijving &amp; aflossing teeltinvesteringen]]),_xlfn.XMATCH('Grote lisdodde'!M79,CultCost05[[#Headers],[Geen]:[Waarde MIN]])),N79)</f>
        <v>0.05</v>
      </c>
      <c r="P79" s="56"/>
    </row>
    <row r="80" spans="6:16" ht="16.5" thickTop="1" thickBot="1">
      <c r="F80" s="57"/>
      <c r="G80" s="104"/>
      <c r="H80" s="104"/>
      <c r="I80" s="104"/>
      <c r="J80" s="58"/>
      <c r="L80" s="55" t="str">
        <v>Afschrijvingstermijn - Investeringen perceel</v>
      </c>
      <c r="M80" s="49" t="s">
        <v>126</v>
      </c>
      <c r="N80" s="45">
        <v>15</v>
      </c>
      <c r="O80" s="43" cm="1">
        <f t="array" ref="O80">IF(ISBLANK(N80),INDEX(CultCost05[[#All],[Geen]:[Waarde MIN]],_xlfn.XMATCH('Grote lisdodde'!L80,CultCost05[[#All],[Afschrijving &amp; aflossing teeltinvesteringen]]),_xlfn.XMATCH('Grote lisdodde'!M80,CultCost05[[#Headers],[Geen]:[Waarde MIN]])),N80)</f>
        <v>15</v>
      </c>
      <c r="P80" s="56" t="s">
        <v>135</v>
      </c>
    </row>
    <row r="81" spans="2:26" ht="16.5" thickTop="1" thickBot="1">
      <c r="I81"/>
      <c r="L81" s="55" t="str">
        <v>Teeltinvesteringen perceel - jaarlijkse afschrijving</v>
      </c>
      <c r="M81" s="43">
        <f>-PMT(O79,O80,I45)</f>
        <v>703.29869954748392</v>
      </c>
      <c r="N81" s="45"/>
      <c r="O81" s="107">
        <f>IF(ISBLANK(N81),M81,N81)</f>
        <v>703.29869954748392</v>
      </c>
      <c r="P81" s="56" t="s">
        <v>88</v>
      </c>
    </row>
    <row r="82" spans="2:26" ht="16.5" thickTop="1" thickBot="1">
      <c r="I82"/>
      <c r="L82" s="55" t="str">
        <v>Afschrijvingstermijn - Plant/zaaikosten</v>
      </c>
      <c r="M82" s="49" t="s">
        <v>79</v>
      </c>
      <c r="N82" s="45">
        <v>15</v>
      </c>
      <c r="O82" s="43" cm="1">
        <f t="array" ref="O82">IF(ISBLANK(N82),INDEX(CultCost05[[#All],[Geen]:[Waarde MIN]],_xlfn.XMATCH('Grote lisdodde'!L82,CultCost05[[#All],[Afschrijving &amp; aflossing teeltinvesteringen]]),_xlfn.XMATCH('Grote lisdodde'!M82,CultCost05[[#Headers],[Geen]:[Waarde MIN]])),N82)</f>
        <v>15</v>
      </c>
      <c r="P82" s="56" t="s">
        <v>135</v>
      </c>
    </row>
    <row r="83" spans="2:26" ht="16" thickTop="1">
      <c r="I83"/>
      <c r="L83" s="55" t="str">
        <v>Plant/zaaikosten - jaarlijkse afschrijving</v>
      </c>
      <c r="M83" s="43">
        <f>-PMT(O79,O82,I66)</f>
        <v>396.44851351204056</v>
      </c>
      <c r="N83" s="45"/>
      <c r="O83" s="107">
        <f>IF(ISBLANK(N83),M83,N83)</f>
        <v>396.44851351204056</v>
      </c>
      <c r="P83" s="56" t="s">
        <v>88</v>
      </c>
    </row>
    <row r="84" spans="2:26">
      <c r="I84"/>
      <c r="L84" s="57"/>
      <c r="M84" s="104"/>
      <c r="N84" s="104"/>
      <c r="O84" s="104"/>
      <c r="P84" s="58"/>
    </row>
    <row r="85" spans="2:26">
      <c r="I85"/>
    </row>
    <row r="86" spans="2:26" s="75" customFormat="1" ht="17">
      <c r="B86" s="74" t="s">
        <v>136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8" spans="2:26" ht="16" thickBot="1">
      <c r="B88" s="61" t="s">
        <v>137</v>
      </c>
      <c r="C88" s="105"/>
      <c r="D88" s="60"/>
      <c r="F88" s="61" t="s">
        <v>138</v>
      </c>
      <c r="G88" s="54" t="str">
        <f>F65</f>
        <v>Grote lisdodde</v>
      </c>
      <c r="H88" s="105"/>
      <c r="I88" s="80"/>
      <c r="J88" s="60"/>
      <c r="L88" s="121" t="s">
        <v>139</v>
      </c>
      <c r="M88" s="105"/>
      <c r="N88" s="105"/>
      <c r="O88" s="105"/>
      <c r="P88" s="60"/>
    </row>
    <row r="89" spans="2:26" ht="16.5" thickTop="1" thickBot="1">
      <c r="B89" s="81"/>
      <c r="C89" s="103"/>
      <c r="D89" s="56"/>
      <c r="F89" s="76"/>
      <c r="G89" s="63" t="s">
        <v>112</v>
      </c>
      <c r="H89" s="64" t="s">
        <v>111</v>
      </c>
      <c r="I89" s="43"/>
      <c r="J89" s="56"/>
      <c r="L89" s="55" t="s">
        <v>139</v>
      </c>
      <c r="M89" s="49" t="s">
        <v>140</v>
      </c>
      <c r="N89" s="103"/>
      <c r="O89" s="103"/>
      <c r="P89" s="56"/>
    </row>
    <row r="90" spans="2:26" ht="16.5" thickTop="1" thickBot="1">
      <c r="B90" s="76" t="s">
        <v>141</v>
      </c>
      <c r="C90" s="340" t="s">
        <v>109</v>
      </c>
      <c r="D90" s="341"/>
      <c r="F90" s="122" t="str">
        <f>_xlfn.XLOOKUP(G88,Gewasopbrengst_0[Gewasopbrengst gehele plant],Gewasopbrengst_0[Gewasopbrengst 1])</f>
        <v>Gehele plant</v>
      </c>
      <c r="G90" s="49" t="s">
        <v>79</v>
      </c>
      <c r="H90" s="45"/>
      <c r="I90" s="128" cm="1">
        <f t="array" ref="I90">IF(ISBLANK(H90),INDEX(Gewasopbrengst_1[[Geen]:[Waarde MIN]],_xlfn.XMATCH('Grote lisdodde'!G88,Gewasopbrengst_1[Gewasopbrengst 1]),_xlfn.XMATCH('Grote lisdodde'!G90,Gewasopbrengst_1[[#Headers],[Geen]:[Waarde MIN]])),H90)</f>
        <v>12</v>
      </c>
      <c r="J90" s="56" t="s">
        <v>142</v>
      </c>
      <c r="L90" s="76" t="s">
        <v>143</v>
      </c>
      <c r="M90" s="103"/>
      <c r="N90" s="103"/>
      <c r="O90" s="103"/>
      <c r="P90" s="56"/>
    </row>
    <row r="91" spans="2:26" ht="16.5" thickTop="1" thickBot="1">
      <c r="B91" s="55" t="str">
        <f>F90</f>
        <v>Gehele plant</v>
      </c>
      <c r="C91" s="130">
        <f>I90</f>
        <v>12</v>
      </c>
      <c r="D91" s="56" t="s">
        <v>142</v>
      </c>
      <c r="F91" s="122" t="str">
        <f>_xlfn.XLOOKUP(G88,Gewasopbrengst_0[Gewasopbrengst gehele plant],Gewasopbrengst_0[Gewasopbrengst 2])</f>
        <v>Aren</v>
      </c>
      <c r="G91" s="49" t="s">
        <v>79</v>
      </c>
      <c r="H91" s="201"/>
      <c r="I91" s="129" cm="1">
        <f t="array" ref="I91">IF(ISBLANK(H91),INDEX(Gewasopbrengst_2[[Geen]:[Waarde MIN]],_xlfn.XMATCH('Grote lisdodde'!G88,Gewasopbrengst_2[Gewasopbrengst 2]),_xlfn.XMATCH('Grote lisdodde'!G91,Gewasopbrengst_2[[#Headers],[Geen]:[Waarde MIN]])),H91)</f>
        <v>2</v>
      </c>
      <c r="J91" s="56" t="s">
        <v>142</v>
      </c>
      <c r="L91" s="122" t="str">
        <f>F90</f>
        <v>Gehele plant</v>
      </c>
      <c r="M91" s="49" t="s">
        <v>79</v>
      </c>
      <c r="N91" s="45"/>
      <c r="O91" s="47" cm="1">
        <f t="array" ref="O91">IF(ISBLANK(N91),INDEX(GehalteDS_1[[Geen]:[Waarde MIN]],_xlfn.XMATCH('Grote lisdodde'!G88,GehalteDS_1[DS-gehalte 1]),_xlfn.XMATCH('Grote lisdodde'!M91,GehalteDS_1[[#Headers],[Geen]:[Waarde MIN]])),N91)</f>
        <v>0.6</v>
      </c>
      <c r="P91" s="56" t="s">
        <v>144</v>
      </c>
    </row>
    <row r="92" spans="2:26" ht="16.5" thickTop="1" thickBot="1">
      <c r="B92" s="55" t="str">
        <f>F91</f>
        <v>Aren</v>
      </c>
      <c r="C92" s="130">
        <f>I91</f>
        <v>2</v>
      </c>
      <c r="D92" s="56" t="s">
        <v>142</v>
      </c>
      <c r="F92" s="55"/>
      <c r="G92" s="103"/>
      <c r="H92" s="103"/>
      <c r="I92" s="43"/>
      <c r="J92" s="56"/>
      <c r="L92" s="122" t="str">
        <f>F91</f>
        <v>Aren</v>
      </c>
      <c r="M92" s="49" t="s">
        <v>126</v>
      </c>
      <c r="N92" s="201"/>
      <c r="O92" s="216" cm="1">
        <f t="array" ref="O92">IF(ISBLANK(N92),INDEX(GehalteDS_2[[Geen]:[Waarde MIN]],_xlfn.XMATCH('Grote lisdodde'!G88,GehalteDS_2[DS-gehalte 2]),_xlfn.XMATCH('Grote lisdodde'!M92,GehalteDS_2[[#Headers],[Geen]:[Waarde MIN]])),N92)</f>
        <v>0.5</v>
      </c>
      <c r="P92" s="56" t="s">
        <v>144</v>
      </c>
    </row>
    <row r="93" spans="2:26" ht="16.5" thickTop="1" thickBot="1">
      <c r="B93" s="55"/>
      <c r="C93" s="103"/>
      <c r="D93" s="56"/>
      <c r="F93" s="76" t="s">
        <v>145</v>
      </c>
      <c r="G93" s="63" t="s">
        <v>112</v>
      </c>
      <c r="H93" s="64" t="s">
        <v>111</v>
      </c>
      <c r="I93" s="43"/>
      <c r="J93" s="56"/>
      <c r="L93" s="55"/>
      <c r="M93" s="103"/>
      <c r="N93" s="103"/>
      <c r="O93" s="103"/>
      <c r="P93" s="56"/>
    </row>
    <row r="94" spans="2:26" ht="16.5" thickTop="1" thickBot="1">
      <c r="B94" s="76" t="str">
        <f>F93</f>
        <v xml:space="preserve">Opbrengstprijzen </v>
      </c>
      <c r="C94" s="340" t="s">
        <v>109</v>
      </c>
      <c r="D94" s="341"/>
      <c r="F94" s="55" t="str">
        <f>F90</f>
        <v>Gehele plant</v>
      </c>
      <c r="G94" s="49" t="s">
        <v>79</v>
      </c>
      <c r="H94" s="45"/>
      <c r="I94" s="43" cm="1">
        <f t="array" ref="I94">IF(ISBLANK(H94),INDEX(Opbrengstprijs_1[[Geen]:[Waarde MIN]],_xlfn.XMATCH('Grote lisdodde'!G88,Opbrengstprijs_1[Opbrengstprijs 1]),_xlfn.XMATCH('Grote lisdodde'!G94,Opbrengstprijs_1[[#Headers],[Geen]:[Waarde MIN]])),H94)</f>
        <v>200</v>
      </c>
      <c r="J94" s="56" t="s">
        <v>146</v>
      </c>
      <c r="L94" s="55" t="s">
        <v>147</v>
      </c>
      <c r="M94" s="49" t="s">
        <v>148</v>
      </c>
      <c r="N94" s="103"/>
      <c r="O94" s="103"/>
      <c r="P94" s="56"/>
    </row>
    <row r="95" spans="2:26" ht="16.5" thickTop="1" thickBot="1">
      <c r="B95" s="55" t="str">
        <f>F94</f>
        <v>Gehele plant</v>
      </c>
      <c r="C95" s="43">
        <f>I94*I90</f>
        <v>2400</v>
      </c>
      <c r="D95" s="56" t="s">
        <v>149</v>
      </c>
      <c r="F95" s="55" t="str">
        <f>F91</f>
        <v>Aren</v>
      </c>
      <c r="G95" s="49" t="s">
        <v>126</v>
      </c>
      <c r="H95" s="201"/>
      <c r="I95" s="107" cm="1">
        <f t="array" ref="I95">IF(ISBLANK(H95),INDEX(Opbrengstprijs_2[[Geen]:[Waarde MIN]],_xlfn.XMATCH('Grote lisdodde'!G88,Opbrengstprijs_2[Opbrengstprijs 2]),_xlfn.XMATCH('Grote lisdodde'!G95,Opbrengstprijs_2[[#Headers],[Geen]:[Waarde MIN]])),H95)</f>
        <v>800</v>
      </c>
      <c r="J95" s="56" t="s">
        <v>146</v>
      </c>
      <c r="L95" s="55"/>
      <c r="M95" s="103"/>
      <c r="N95" s="103"/>
      <c r="O95" s="103"/>
      <c r="P95" s="56"/>
    </row>
    <row r="96" spans="2:26" ht="16" thickTop="1">
      <c r="B96" s="55" t="str">
        <f>F95</f>
        <v>Aren</v>
      </c>
      <c r="C96" s="43">
        <f>I95*I91</f>
        <v>1600</v>
      </c>
      <c r="D96" s="56" t="s">
        <v>149</v>
      </c>
      <c r="F96" s="215"/>
      <c r="G96" s="104"/>
      <c r="H96" s="104"/>
      <c r="I96" s="118"/>
      <c r="J96" s="58"/>
      <c r="L96" s="76" t="s">
        <v>150</v>
      </c>
      <c r="M96" s="63" t="s">
        <v>112</v>
      </c>
      <c r="N96" s="64" t="s">
        <v>111</v>
      </c>
      <c r="O96" s="103"/>
      <c r="P96" s="56"/>
    </row>
    <row r="97" spans="2:16">
      <c r="B97" s="55"/>
      <c r="C97" s="103"/>
      <c r="D97" s="56"/>
      <c r="L97" s="114" t="s">
        <v>151</v>
      </c>
      <c r="M97" s="120">
        <f>_xlfn.XLOOKUP(M94,B91:B92,C91:C92)</f>
        <v>12</v>
      </c>
      <c r="N97" s="135"/>
      <c r="O97" s="108">
        <f>IF(M89="Ja",IF(ISBLANK(N97),M97,N97),0)</f>
        <v>12</v>
      </c>
      <c r="P97" s="112" t="s">
        <v>152</v>
      </c>
    </row>
    <row r="98" spans="2:16" s="195" customFormat="1">
      <c r="B98" s="76" t="s">
        <v>153</v>
      </c>
      <c r="C98" s="340" t="s">
        <v>109</v>
      </c>
      <c r="D98" s="341"/>
      <c r="F98" s="165" t="s">
        <v>154</v>
      </c>
      <c r="G98" s="166"/>
      <c r="H98" s="166"/>
      <c r="I98" s="175"/>
      <c r="J98" s="167"/>
      <c r="L98" s="114"/>
      <c r="M98" s="73"/>
      <c r="N98" s="73"/>
      <c r="O98" s="127">
        <f>_xlfn.XLOOKUP(M94,L91:L92,O91:O92)</f>
        <v>0.6</v>
      </c>
      <c r="P98" s="112" t="s">
        <v>144</v>
      </c>
    </row>
    <row r="99" spans="2:16" ht="16" thickBot="1">
      <c r="B99" s="55" t="str">
        <f>F100</f>
        <v>Oogstkosten Gehele plant</v>
      </c>
      <c r="C99" s="42">
        <f>I100</f>
        <v>304.14999999999998</v>
      </c>
      <c r="D99" s="56" t="s">
        <v>88</v>
      </c>
      <c r="F99" s="168"/>
      <c r="G99" s="103"/>
      <c r="H99" s="103"/>
      <c r="I99" s="43"/>
      <c r="J99" s="176"/>
      <c r="L99" s="125" t="s">
        <v>155</v>
      </c>
      <c r="M99" s="73"/>
      <c r="N99" s="73"/>
      <c r="O99" s="107">
        <f>IFERROR(O97/O98,0)</f>
        <v>20</v>
      </c>
      <c r="P99" s="56" t="s">
        <v>156</v>
      </c>
    </row>
    <row r="100" spans="2:16" ht="16.5" thickTop="1" thickBot="1">
      <c r="B100" s="55" t="str">
        <f>F110</f>
        <v>Opslag - Plant/blad &amp; stengelmateriaal</v>
      </c>
      <c r="C100" s="42">
        <f>IFERROR(#REF!/#REF!,0)</f>
        <v>0</v>
      </c>
      <c r="D100" s="56" t="s">
        <v>88</v>
      </c>
      <c r="F100" s="189" t="str">
        <f>_xlfn.CONCAT("Oogstkosten ",F90)</f>
        <v>Oogstkosten Gehele plant</v>
      </c>
      <c r="G100" s="63" t="s">
        <v>112</v>
      </c>
      <c r="H100" s="64" t="s">
        <v>111</v>
      </c>
      <c r="I100" s="41">
        <f>SUM(I106,I103)</f>
        <v>304.14999999999998</v>
      </c>
      <c r="J100" s="177" t="s">
        <v>88</v>
      </c>
      <c r="L100" s="114" t="str">
        <f>'DATA - Variabelen &amp; waarden'!B383</f>
        <v xml:space="preserve">Drogestofgehalte output </v>
      </c>
      <c r="M100" s="49" t="s">
        <v>79</v>
      </c>
      <c r="N100" s="45"/>
      <c r="O100" s="127" cm="1">
        <f t="array" ref="O100">IF(ISBLANK(N100),INDEX(VoorDroog[[#All],[Geen]:[Waarde MIN]],_xlfn.XMATCH('Grote lisdodde'!L100,VoorDroog[[#All],[Voordrogen]]),_xlfn.XMATCH('Grote lisdodde'!M100,VoorDroog[[#Headers],[Geen]:[Waarde MIN]])),N100)</f>
        <v>0.9</v>
      </c>
      <c r="P100" s="112" t="s">
        <v>144</v>
      </c>
    </row>
    <row r="101" spans="2:16" ht="16.5" thickTop="1" thickBot="1">
      <c r="B101" s="55" t="str">
        <f>F117</f>
        <v>Oogstkosten Aren</v>
      </c>
      <c r="C101" s="42">
        <f>I117</f>
        <v>145.25</v>
      </c>
      <c r="D101" s="56" t="s">
        <v>88</v>
      </c>
      <c r="F101" s="185" t="s">
        <v>213</v>
      </c>
      <c r="G101" s="49" t="s">
        <v>79</v>
      </c>
      <c r="H101" s="45"/>
      <c r="I101" s="108" cm="1">
        <f t="array" ref="I101">IF(ISBLANK(H101),INDEX(HarvestCost01[[#All],[Geen]:[Waarde MIN]],_xlfn.XMATCH('Grote lisdodde'!F101,HarvestCost01[[#All],[Oogst - tarief - Gehele plant/blad &amp; stengelmateriaal]]),_xlfn.XMATCH('Grote lisdodde'!G101,HarvestCost01[[#Headers],[Geen]:[Waarde MIN]])),H101)</f>
        <v>317</v>
      </c>
      <c r="J101" s="181" t="s">
        <v>117</v>
      </c>
      <c r="L101" s="125" t="s">
        <v>158</v>
      </c>
      <c r="M101" s="103"/>
      <c r="N101" s="103"/>
      <c r="O101" s="42">
        <f>IFERROR(IF($O$98&lt;$O$100,O97/O100,0),0)</f>
        <v>13.333333333333332</v>
      </c>
      <c r="P101" s="56" t="s">
        <v>156</v>
      </c>
    </row>
    <row r="102" spans="2:16" ht="16.5" thickTop="1" thickBot="1">
      <c r="B102" s="55" t="str">
        <f>F127</f>
        <v>Opslag - Zaden</v>
      </c>
      <c r="C102" s="42">
        <f>IFERROR(#REF!/#REF!,0)</f>
        <v>0</v>
      </c>
      <c r="D102" s="56" t="s">
        <v>88</v>
      </c>
      <c r="F102" s="179" t="s">
        <v>159</v>
      </c>
      <c r="G102" s="49" t="s">
        <v>126</v>
      </c>
      <c r="H102" s="45"/>
      <c r="I102" s="187" cm="1">
        <f t="array" ref="I102">IF(ISBLANK(H102),INDEX('DATA - Variabelen &amp; waarden'!D298:G307,_xlfn.XMATCH('Grote lisdodde'!F101,'DATA - Variabelen &amp; waarden'!B298:B307),_xlfn.XMATCH('Grote lisdodde'!G102,'DATA - Variabelen &amp; waarden'!D298:G298)),H102)</f>
        <v>0.75</v>
      </c>
      <c r="J102" s="188" t="s">
        <v>116</v>
      </c>
      <c r="L102" s="134" t="s">
        <v>160</v>
      </c>
      <c r="M102" s="132"/>
      <c r="N102" s="132"/>
      <c r="O102" s="144">
        <f>IF(O98&lt;O100,O99-O101,0)</f>
        <v>6.6666666666666679</v>
      </c>
      <c r="P102" s="133" t="s">
        <v>156</v>
      </c>
    </row>
    <row r="103" spans="2:16" ht="16.5" thickTop="1" thickBot="1">
      <c r="B103" s="145" t="s">
        <v>161</v>
      </c>
      <c r="C103" s="42">
        <f>IFERROR(#REF!/#REF!,0)</f>
        <v>0</v>
      </c>
      <c r="D103" s="146" t="s">
        <v>88</v>
      </c>
      <c r="F103" s="186" t="s">
        <v>162</v>
      </c>
      <c r="G103" s="173">
        <f>I101*I102</f>
        <v>237.75</v>
      </c>
      <c r="H103" s="45"/>
      <c r="I103" s="107">
        <f>IF(ISBLANK(H103),G103,H103)</f>
        <v>237.75</v>
      </c>
      <c r="J103" s="162" t="s">
        <v>88</v>
      </c>
      <c r="L103" s="55" t="s">
        <v>163</v>
      </c>
      <c r="M103" s="49" t="s">
        <v>126</v>
      </c>
      <c r="N103" s="142"/>
      <c r="O103" s="48" cm="1">
        <f t="array" ref="O103">IF(ISBLANK(N103),_xlfn.XLOOKUP(M103,Tabel37[[#Headers],[Geen]:[Waarde MIN]],'DATA - Variabelen &amp; waarden'!D415:G415,"Selecteer waarde"),N103)</f>
        <v>2.5</v>
      </c>
      <c r="P103" s="56" t="s">
        <v>164</v>
      </c>
    </row>
    <row r="104" spans="2:16" ht="16.5" thickTop="1" thickBot="1">
      <c r="B104" s="78" t="s">
        <v>165</v>
      </c>
      <c r="C104" s="147">
        <f>SUM(C99:C103)</f>
        <v>449.4</v>
      </c>
      <c r="D104" s="217" t="s">
        <v>88</v>
      </c>
      <c r="F104" s="179" t="str">
        <f>HarvestCost11[[#Headers],[Veld &amp; opslaglogistiek - tarief - Gehele plant/blad &amp; stengelmateriaal]]</f>
        <v>Veld &amp; opslaglogistiek - tarief - Gehele plant/blad &amp; stengelmateriaal</v>
      </c>
      <c r="G104" s="49" t="s">
        <v>79</v>
      </c>
      <c r="H104" s="45"/>
      <c r="I104" s="187" cm="1">
        <f t="array" ref="I104">IF(ISBLANK(H104),_xlfn.XLOOKUP(G104,HarvestCost11[[#Headers],[Geen]:[Waarde MIN]],HarvestCost11[[#Totals],[Geen]:[Waarde MIN]]),H104)</f>
        <v>80</v>
      </c>
      <c r="J104" s="188" t="s">
        <v>117</v>
      </c>
      <c r="L104" s="55"/>
      <c r="M104" s="103"/>
      <c r="N104" s="103"/>
      <c r="O104" s="103"/>
      <c r="P104" s="56"/>
    </row>
    <row r="105" spans="2:16" ht="16.5" thickTop="1" thickBot="1">
      <c r="F105" s="179" t="s">
        <v>166</v>
      </c>
      <c r="G105" s="49" t="s">
        <v>79</v>
      </c>
      <c r="H105" s="45"/>
      <c r="I105" s="187" cm="1">
        <f t="array" ref="I105">IF(ISBLANK(H105),INDEX('DATA - Variabelen &amp; waarden'!D298:G307,_xlfn.XMATCH('Grote lisdodde'!F101,'DATA - Variabelen &amp; waarden'!B298:B307),_xlfn.XMATCH('Grote lisdodde'!G105,'DATA - Variabelen &amp; waarden'!D298:G298)),H105)</f>
        <v>0.83</v>
      </c>
      <c r="J105" s="188" t="s">
        <v>116</v>
      </c>
      <c r="L105" s="76" t="s">
        <v>167</v>
      </c>
      <c r="M105" s="63" t="s">
        <v>112</v>
      </c>
      <c r="N105" s="64" t="s">
        <v>111</v>
      </c>
      <c r="O105" s="103"/>
      <c r="P105" s="56"/>
    </row>
    <row r="106" spans="2:16" ht="16.5" thickTop="1" thickBot="1">
      <c r="F106" s="186" t="s">
        <v>168</v>
      </c>
      <c r="G106" s="173">
        <f>I104*I105</f>
        <v>66.399999999999991</v>
      </c>
      <c r="H106" s="45"/>
      <c r="I106" s="107">
        <f>IF(ISBLANK(H106),G106,H106)</f>
        <v>66.399999999999991</v>
      </c>
      <c r="J106" s="162" t="s">
        <v>88</v>
      </c>
      <c r="L106" s="114" t="s">
        <v>169</v>
      </c>
      <c r="M106" s="73"/>
      <c r="N106" s="45">
        <v>25</v>
      </c>
      <c r="O106" s="73">
        <f>N106</f>
        <v>25</v>
      </c>
      <c r="P106" s="112" t="s">
        <v>170</v>
      </c>
    </row>
    <row r="107" spans="2:16" ht="16.5" thickTop="1" thickBot="1">
      <c r="F107" s="160"/>
      <c r="G107" s="161"/>
      <c r="H107" s="161"/>
      <c r="I107" s="173"/>
      <c r="J107" s="162"/>
      <c r="L107" s="138" t="s">
        <v>171</v>
      </c>
      <c r="M107" s="49" t="s">
        <v>79</v>
      </c>
      <c r="N107" s="45"/>
      <c r="O107" s="137" cm="1">
        <f t="array" ref="O107">IF(ISBLANK(N107),INDEX(ProcesCost01[[#All],[Geen]:[Waarde MIN]],_xlfn.XMATCH('Grote lisdodde'!L107,ProcesCost01[[#All],[Transportkosten]]),_xlfn.XMATCH('Grote lisdodde'!M107,ProcesCost01[[#Headers],[Geen]:[Waarde MIN]])),N107)</f>
        <v>0.12</v>
      </c>
      <c r="P107" s="112" t="s">
        <v>172</v>
      </c>
    </row>
    <row r="108" spans="2:16" ht="16.5" thickTop="1" thickBot="1">
      <c r="F108" s="189" t="str">
        <f>_xlfn.CONCAT("Bewaarmethode ",F90)</f>
        <v>Bewaarmethode Gehele plant</v>
      </c>
      <c r="G108" s="103"/>
      <c r="H108" s="103"/>
      <c r="I108" s="43"/>
      <c r="J108" s="176"/>
      <c r="L108" s="125" t="s">
        <v>173</v>
      </c>
      <c r="M108" s="103"/>
      <c r="N108" s="45"/>
      <c r="O108" s="107">
        <f>IF(ISBLANK(N108),IF($O$98&lt;$O$100,O106*O107*O99,0),N108)</f>
        <v>60</v>
      </c>
      <c r="P108" s="56" t="s">
        <v>174</v>
      </c>
    </row>
    <row r="109" spans="2:16" ht="16.5" thickTop="1" thickBot="1">
      <c r="F109" s="178" t="s">
        <v>197</v>
      </c>
      <c r="G109" s="49" t="s">
        <v>79</v>
      </c>
      <c r="H109" s="45"/>
      <c r="I109" s="43" cm="1">
        <f t="array" ref="I109">IF(ISBLANK(H109),INDEX(Stock1[[#All],[Geen]:[Waarde MIN]],_xlfn.XMATCH('Grote lisdodde'!F109,Stock1[[#All],[Bewaarmethode - Plant/blad &amp; stengelmateriaal]]),_xlfn.XMATCH('Grote lisdodde'!G109,Stock1[[#Headers],[Geen]:[Waarde MIN]])),H109)</f>
        <v>125</v>
      </c>
      <c r="J109" s="176" t="s">
        <v>176</v>
      </c>
      <c r="L109" s="122"/>
      <c r="M109" s="103"/>
      <c r="N109" s="103"/>
      <c r="O109" s="103"/>
      <c r="P109" s="56"/>
    </row>
    <row r="110" spans="2:16" ht="16.5" thickTop="1" thickBot="1">
      <c r="F110" s="189" t="str">
        <f>Stock11[[#Headers],[Opslag - Plant/blad &amp; stengelmateriaal]]</f>
        <v>Opslag - Plant/blad &amp; stengelmateriaal</v>
      </c>
      <c r="G110" s="103"/>
      <c r="H110" s="103"/>
      <c r="I110" s="43"/>
      <c r="J110" s="176"/>
      <c r="L110" s="114" t="s">
        <v>177</v>
      </c>
      <c r="M110" s="73"/>
      <c r="N110" s="45"/>
      <c r="O110" s="73">
        <f>N110</f>
        <v>0</v>
      </c>
      <c r="P110" s="112" t="s">
        <v>170</v>
      </c>
    </row>
    <row r="111" spans="2:16" ht="16.5" thickTop="1" thickBot="1">
      <c r="F111" s="178" t="s">
        <v>178</v>
      </c>
      <c r="G111" s="49" t="s">
        <v>79</v>
      </c>
      <c r="H111" s="45"/>
      <c r="I111" s="48" cm="1">
        <f t="array" ref="I111">IF(ISBLANK(H111),INDEX(Stock11[[#All],[Geen]:[Waarde MIN]],_xlfn.XMATCH('Grote lisdodde'!F111,Stock11[[#All],[Opslag - Plant/blad &amp; stengelmateriaal]]),_xlfn.XMATCH('Grote lisdodde'!G111,Stock11[[#Headers],[Geen]:[Waarde MIN]])),H111)</f>
        <v>8</v>
      </c>
      <c r="J111" s="176" t="s">
        <v>176</v>
      </c>
      <c r="L111" s="138" t="s">
        <v>114</v>
      </c>
      <c r="M111" s="49" t="s">
        <v>79</v>
      </c>
      <c r="N111" s="45"/>
      <c r="O111" s="137" cm="1">
        <f t="array" ref="O111">IF(ISBLANK(N111),INDEX(ProcesCost01[[#All],[Geen]:[Waarde MIN]],_xlfn.XMATCH('Grote lisdodde'!L111,ProcesCost01[[#All],[Transportkosten]]),_xlfn.XMATCH('Grote lisdodde'!M111,ProcesCost01[[#Headers],[Geen]:[Waarde MIN]])),N111)</f>
        <v>0</v>
      </c>
      <c r="P111" s="112" t="s">
        <v>172</v>
      </c>
    </row>
    <row r="112" spans="2:16" ht="16.5" thickTop="1" thickBot="1">
      <c r="F112" s="180" t="s">
        <v>179</v>
      </c>
      <c r="G112" s="103"/>
      <c r="H112" s="103"/>
      <c r="I112" s="43"/>
      <c r="J112" s="176"/>
      <c r="L112" s="125" t="s">
        <v>180</v>
      </c>
      <c r="M112" s="103"/>
      <c r="N112" s="45"/>
      <c r="O112" s="107">
        <f>IF(ISBLANK(N112),O110*O111*O101,N112)</f>
        <v>0</v>
      </c>
      <c r="P112" s="56" t="s">
        <v>174</v>
      </c>
    </row>
    <row r="113" spans="6:16" ht="16.5" thickTop="1" thickBot="1">
      <c r="F113" s="178" t="s">
        <v>181</v>
      </c>
      <c r="G113" s="49" t="s">
        <v>79</v>
      </c>
      <c r="H113" s="45"/>
      <c r="I113" s="108" cm="1">
        <f t="array" ref="I113">IF(ISBLANK(H113),INDEX(StockBales[[#All],[Geen]:[Waarde MIN]],_xlfn.XMATCH(F113,StockBales[[#All],[DS inhoud balen ]]),_xlfn.XMATCH('Grote lisdodde'!G113,StockBales[[#Headers],[Geen]:[Waarde MIN]])),H113)</f>
        <v>299.70000000000005</v>
      </c>
      <c r="J113" s="181" t="s">
        <v>182</v>
      </c>
      <c r="L113" s="122"/>
      <c r="M113" s="103"/>
      <c r="N113" s="103"/>
      <c r="O113" s="103"/>
      <c r="P113" s="56"/>
    </row>
    <row r="114" spans="6:16" ht="16.5" thickTop="1" thickBot="1">
      <c r="F114" s="182" t="s">
        <v>183</v>
      </c>
      <c r="G114" s="103"/>
      <c r="H114" s="103"/>
      <c r="I114" s="107">
        <f>IF(OR(F109='DATA - Variabelen &amp; waarden'!B343,F109='DATA - Variabelen &amp; waarden'!B344,F109='DATA - Variabelen &amp; waarden'!B346),I113/1000*I109,0)</f>
        <v>0</v>
      </c>
      <c r="J114" s="176" t="s">
        <v>184</v>
      </c>
      <c r="L114" s="76" t="s">
        <v>185</v>
      </c>
      <c r="M114" s="63" t="s">
        <v>112</v>
      </c>
      <c r="N114" s="64" t="s">
        <v>111</v>
      </c>
      <c r="O114" s="103"/>
      <c r="P114" s="56"/>
    </row>
    <row r="115" spans="6:16" ht="16.5" thickTop="1" thickBot="1">
      <c r="F115" s="182" t="s">
        <v>186</v>
      </c>
      <c r="G115" s="103"/>
      <c r="H115" s="103"/>
      <c r="I115" s="117">
        <f>IF(OR(F111='DATA - Variabelen &amp; waarden'!B353,F111='DATA - Variabelen &amp; waarden'!B354,F111='DATA - Variabelen &amp; waarden'!B355),'Grote lisdodde'!I113/1000*'Grote lisdodde'!I111,0)</f>
        <v>2.3976000000000002</v>
      </c>
      <c r="J115" s="176" t="s">
        <v>184</v>
      </c>
      <c r="L115" s="138" t="s">
        <v>665</v>
      </c>
      <c r="M115" s="49" t="s">
        <v>126</v>
      </c>
      <c r="N115" s="53"/>
      <c r="O115" s="140" cm="1">
        <f t="array" ref="O115">IF(ISBLANK(N115),INDEX(DryingCost1[[#All],[Geen]:[Waarde MIN]],_xlfn.XMATCH('Grote lisdodde'!L115,DryingCost1[[#All],[Drogen - Kosten]]),_xlfn.XMATCH('Grote lisdodde'!M115,DryingCost1[[#Headers],[Geen]:[Waarde MIN]])),N115)</f>
        <v>400</v>
      </c>
      <c r="P115" s="112" t="s">
        <v>188</v>
      </c>
    </row>
    <row r="116" spans="6:16" ht="16.5" thickTop="1" thickBot="1">
      <c r="F116" s="168"/>
      <c r="G116" s="103"/>
      <c r="H116" s="103"/>
      <c r="I116" s="43"/>
      <c r="J116" s="176"/>
      <c r="L116" s="124" t="s">
        <v>189</v>
      </c>
      <c r="M116" s="49" t="s">
        <v>129</v>
      </c>
      <c r="N116" s="52"/>
      <c r="O116" s="141" cm="1">
        <f t="array" ref="O116">IF(ISBLANK(N116),INDEX(DryingCost11[[#All],[Geen]:[Waarde MIN]],_xlfn.XMATCH('Grote lisdodde'!L115,DryingCost11[[#All],[Drogen - Producteffciency]]),_xlfn.XMATCH('Grote lisdodde'!M116,DryingCost11[[#Headers],[Geen]:[Waarde MIN]])),N116)</f>
        <v>1</v>
      </c>
      <c r="P116" s="112" t="s">
        <v>190</v>
      </c>
    </row>
    <row r="117" spans="6:16" ht="16.5" thickTop="1" thickBot="1">
      <c r="F117" s="189" t="str">
        <f>_xlfn.CONCAT("Oogstkosten ",F91)</f>
        <v>Oogstkosten Aren</v>
      </c>
      <c r="G117" s="63" t="s">
        <v>112</v>
      </c>
      <c r="H117" s="64" t="s">
        <v>111</v>
      </c>
      <c r="I117" s="174">
        <f>SUM(I120,I123)</f>
        <v>145.25</v>
      </c>
      <c r="J117" s="177" t="s">
        <v>88</v>
      </c>
      <c r="L117" s="139" t="s">
        <v>185</v>
      </c>
      <c r="M117" s="103"/>
      <c r="N117" s="45"/>
      <c r="O117" s="107">
        <f>IF(ISBLANK(N117),O115*O102,N117)</f>
        <v>2666.666666666667</v>
      </c>
      <c r="P117" s="56" t="s">
        <v>174</v>
      </c>
    </row>
    <row r="118" spans="6:16" ht="16.5" thickTop="1" thickBot="1">
      <c r="F118" s="185" t="s">
        <v>601</v>
      </c>
      <c r="G118" s="49" t="s">
        <v>79</v>
      </c>
      <c r="H118" s="45"/>
      <c r="I118" s="187" cm="1">
        <f t="array" ref="I118">IF(ISBLANK(H118),INDEX(HarvestCost2[[#All],[Geen]:[Waarde MIN]],_xlfn.XMATCH('Grote lisdodde'!F118,HarvestCost2[[#All],[Oogst - tarief - Zaden]]),_xlfn.XMATCH('Grote lisdodde'!G118,HarvestCost2[[#Headers],[Geen]:[Waarde MIN]])),H118)</f>
        <v>175</v>
      </c>
      <c r="J118" s="181" t="s">
        <v>117</v>
      </c>
      <c r="L118" s="125" t="s">
        <v>191</v>
      </c>
      <c r="M118" s="103"/>
      <c r="N118" s="103"/>
      <c r="O118" s="42">
        <f>O101*O116</f>
        <v>13.333333333333332</v>
      </c>
      <c r="P118" s="56" t="s">
        <v>156</v>
      </c>
    </row>
    <row r="119" spans="6:16" ht="16.5" thickTop="1" thickBot="1">
      <c r="F119" s="191" t="s">
        <v>159</v>
      </c>
      <c r="G119" s="190" t="s">
        <v>79</v>
      </c>
      <c r="H119" s="45"/>
      <c r="I119" s="193" cm="1">
        <f t="array" ref="I119">IF(ISBLANK(H119),INDEX('DATA - Variabelen &amp; waarden'!D323:G329,_xlfn.XMATCH('Grote lisdodde'!F118,'DATA - Variabelen &amp; waarden'!B323:B329),_xlfn.XMATCH('Grote lisdodde'!G119,'DATA - Variabelen &amp; waarden'!D323:G323)),H119)</f>
        <v>0.83</v>
      </c>
      <c r="J119" s="194" t="s">
        <v>116</v>
      </c>
      <c r="L119" s="125" t="s">
        <v>192</v>
      </c>
      <c r="M119" s="103"/>
      <c r="N119" s="103"/>
      <c r="O119" s="42">
        <f>O101-O118</f>
        <v>0</v>
      </c>
      <c r="P119" s="56" t="s">
        <v>156</v>
      </c>
    </row>
    <row r="120" spans="6:16" ht="16.5" thickTop="1" thickBot="1">
      <c r="F120" s="186" t="s">
        <v>162</v>
      </c>
      <c r="G120" s="173">
        <f>I118*I119</f>
        <v>145.25</v>
      </c>
      <c r="H120" s="45"/>
      <c r="I120" s="107">
        <f>IF(ISBLANK(H120),G120,H120)</f>
        <v>145.25</v>
      </c>
      <c r="J120" s="162" t="s">
        <v>88</v>
      </c>
      <c r="L120" s="55"/>
      <c r="M120" s="103"/>
      <c r="N120" s="103"/>
      <c r="O120" s="103"/>
      <c r="P120" s="56"/>
    </row>
    <row r="121" spans="6:16" ht="18" customHeight="1" thickTop="1" thickBot="1">
      <c r="F121" s="179" t="str">
        <f>HarvestCost21[[#Headers],[Veld &amp; opslaglogistiek - tarief - Zaden]]</f>
        <v>Veld &amp; opslaglogistiek - tarief - Zaden</v>
      </c>
      <c r="G121" s="49" t="s">
        <v>114</v>
      </c>
      <c r="H121" s="45"/>
      <c r="I121" s="187" cm="1">
        <f t="array" ref="I121">IF(ISBLANK(H121),_xlfn.XLOOKUP(G121,HarvestCost21[[#Headers],[Geen]:[Waarde MIN]],HarvestCost21[[#Totals],[Geen]:[Waarde MIN]]),H121)</f>
        <v>0</v>
      </c>
      <c r="J121" s="188" t="s">
        <v>117</v>
      </c>
      <c r="L121" s="123" t="s">
        <v>80</v>
      </c>
      <c r="M121" s="103"/>
      <c r="N121" s="103"/>
      <c r="O121" s="103"/>
      <c r="P121" s="56"/>
    </row>
    <row r="122" spans="6:16" ht="16.5" thickTop="1" thickBot="1">
      <c r="F122" s="179" t="s">
        <v>166</v>
      </c>
      <c r="G122" s="49" t="s">
        <v>114</v>
      </c>
      <c r="H122" s="45"/>
      <c r="I122" s="192" cm="1">
        <f t="array" ref="I122">IF(ISBLANK(H122),INDEX('DATA - Variabelen &amp; waarden'!D323:G329,_xlfn.XMATCH('Grote lisdodde'!F118,'DATA - Variabelen &amp; waarden'!B323:B329),_xlfn.XMATCH('Grote lisdodde'!G122,'DATA - Variabelen &amp; waarden'!D323:G323)),H122)</f>
        <v>0</v>
      </c>
      <c r="J122" s="188" t="s">
        <v>116</v>
      </c>
      <c r="L122" s="122" t="s">
        <v>193</v>
      </c>
      <c r="M122" s="103"/>
      <c r="N122" s="103"/>
      <c r="O122" s="42">
        <f>O108</f>
        <v>60</v>
      </c>
      <c r="P122" s="56" t="s">
        <v>194</v>
      </c>
    </row>
    <row r="123" spans="6:16" ht="16" thickTop="1">
      <c r="F123" s="186" t="s">
        <v>168</v>
      </c>
      <c r="G123" s="183">
        <f>I121*I122</f>
        <v>0</v>
      </c>
      <c r="H123" s="45"/>
      <c r="I123" s="107">
        <f>IF(ISBLANK(H123),G123,H123)</f>
        <v>0</v>
      </c>
      <c r="J123" s="162" t="s">
        <v>88</v>
      </c>
      <c r="L123" s="122" t="s">
        <v>195</v>
      </c>
      <c r="M123" s="103"/>
      <c r="N123" s="103"/>
      <c r="O123" s="42">
        <f>O112</f>
        <v>0</v>
      </c>
      <c r="P123" s="56" t="s">
        <v>194</v>
      </c>
    </row>
    <row r="124" spans="6:16">
      <c r="F124" s="160"/>
      <c r="G124" s="161"/>
      <c r="H124" s="161"/>
      <c r="I124" s="161"/>
      <c r="J124" s="162"/>
      <c r="L124" s="55" t="s">
        <v>185</v>
      </c>
      <c r="M124" s="103"/>
      <c r="N124" s="103"/>
      <c r="O124" s="42">
        <f>O117</f>
        <v>2666.666666666667</v>
      </c>
      <c r="P124" s="56" t="s">
        <v>194</v>
      </c>
    </row>
    <row r="125" spans="6:16" ht="19" thickBot="1">
      <c r="F125" s="189" t="str">
        <f>_xlfn.CONCAT("Bewaarmethode ",F91)</f>
        <v>Bewaarmethode Aren</v>
      </c>
      <c r="G125" s="103"/>
      <c r="H125" s="103"/>
      <c r="I125" s="173"/>
      <c r="J125" s="176"/>
      <c r="L125" s="131" t="s">
        <v>196</v>
      </c>
      <c r="M125" s="103"/>
      <c r="N125" s="103"/>
      <c r="O125" s="136">
        <f>O119*O103</f>
        <v>0</v>
      </c>
      <c r="P125" s="56" t="s">
        <v>194</v>
      </c>
    </row>
    <row r="126" spans="6:16" ht="16.5" thickTop="1" thickBot="1">
      <c r="F126" s="178" t="s">
        <v>197</v>
      </c>
      <c r="G126" s="49" t="s">
        <v>126</v>
      </c>
      <c r="H126" s="45"/>
      <c r="I126" s="43" cm="1">
        <f t="array" ref="I126">IF(ISBLANK(H126),INDEX(Stock1[[Geen]:[Waarde MIN]],_xlfn.XMATCH('Grote lisdodde'!F126,Stock1[Bewaarmethode - Plant/blad &amp; stengelmateriaal]),_xlfn.XMATCH('Grote lisdodde'!G126,Stock1[[#Headers],[Geen]:[Waarde MIN]])),H126)</f>
        <v>50</v>
      </c>
      <c r="J126" s="176" t="s">
        <v>176</v>
      </c>
      <c r="L126" s="143" t="s">
        <v>198</v>
      </c>
      <c r="M126" s="44"/>
      <c r="N126" s="44"/>
      <c r="O126" s="46">
        <f>SUM(O122:O125)</f>
        <v>2726.666666666667</v>
      </c>
      <c r="P126" s="111" t="s">
        <v>199</v>
      </c>
    </row>
    <row r="127" spans="6:16" ht="16.5" thickTop="1" thickBot="1">
      <c r="F127" s="189" t="str">
        <f>Stock21[[#Headers],[Opslag - Zaden]]</f>
        <v>Opslag - Zaden</v>
      </c>
      <c r="G127" s="103"/>
      <c r="H127" s="103"/>
      <c r="I127" s="43"/>
      <c r="J127" s="176"/>
      <c r="L127" s="125" t="s">
        <v>200</v>
      </c>
      <c r="M127" s="103"/>
      <c r="N127" s="103"/>
      <c r="O127" s="107">
        <f>IFERROR(O126/O118,0)</f>
        <v>204.50000000000003</v>
      </c>
      <c r="P127" s="56" t="s">
        <v>164</v>
      </c>
    </row>
    <row r="128" spans="6:16" ht="16.5" thickTop="1" thickBot="1">
      <c r="F128" s="178" t="s">
        <v>201</v>
      </c>
      <c r="G128" s="49" t="s">
        <v>79</v>
      </c>
      <c r="H128" s="45"/>
      <c r="I128" s="48" cm="1">
        <f t="array" ref="I128">IF(ISBLANK(H128),INDEX(Stock21[[#All],[Geen]:[Waarde MIN]],_xlfn.XMATCH('Grote lisdodde'!F128,Stock21[[#All],[Opslag - Zaden]]),_xlfn.XMATCH('Grote lisdodde'!G128,Stock21[[#Headers],[Geen]:[Waarde MIN]])),H128)</f>
        <v>8</v>
      </c>
      <c r="J128" s="176" t="s">
        <v>176</v>
      </c>
      <c r="L128" s="55"/>
      <c r="M128" s="103"/>
      <c r="N128" s="103"/>
      <c r="O128" s="103"/>
      <c r="P128" s="56"/>
    </row>
    <row r="129" spans="2:16" ht="16.5" thickTop="1" thickBot="1">
      <c r="F129" s="184" t="s">
        <v>202</v>
      </c>
      <c r="G129" s="103"/>
      <c r="H129" s="103"/>
      <c r="I129" s="43"/>
      <c r="J129" s="176"/>
      <c r="L129" s="55"/>
      <c r="M129" s="103"/>
      <c r="N129" s="103"/>
      <c r="O129" s="103"/>
      <c r="P129" s="56"/>
    </row>
    <row r="130" spans="2:16" ht="16.5" thickTop="1" thickBot="1">
      <c r="F130" s="178" t="s">
        <v>203</v>
      </c>
      <c r="G130" s="49" t="s">
        <v>129</v>
      </c>
      <c r="H130" s="45"/>
      <c r="I130" s="108" cm="1">
        <f t="array" ref="I130">IF(ISBLANK(H130),INDEX(StockPluis[[#All],[Geen]:[Waarde MIN]],_xlfn.XMATCH('Grote lisdodde'!F130,StockPluis[[#All],[DS inhoud big bag]]),_xlfn.XMATCH('Grote lisdodde'!G130,StockPluis[[#Headers],[Geen]:[Waarde MIN]])),H130)</f>
        <v>1000</v>
      </c>
      <c r="J130" s="181" t="s">
        <v>204</v>
      </c>
      <c r="L130" s="55"/>
      <c r="M130" s="103"/>
      <c r="N130" s="103"/>
      <c r="O130" s="103"/>
      <c r="P130" s="56"/>
    </row>
    <row r="131" spans="2:16" ht="16" thickTop="1">
      <c r="F131" s="182" t="s">
        <v>205</v>
      </c>
      <c r="G131" s="103"/>
      <c r="H131" s="103"/>
      <c r="I131" s="107">
        <f>IF(F126='DATA - Variabelen &amp; waarden'!B368,I130/1000*I126,0)</f>
        <v>50</v>
      </c>
      <c r="J131" s="176" t="s">
        <v>206</v>
      </c>
      <c r="L131" s="55"/>
      <c r="M131" s="103"/>
      <c r="N131" s="103"/>
      <c r="O131" s="103"/>
      <c r="P131" s="56"/>
    </row>
    <row r="132" spans="2:16">
      <c r="F132" s="182" t="s">
        <v>207</v>
      </c>
      <c r="G132" s="103"/>
      <c r="H132" s="103"/>
      <c r="I132" s="117">
        <f>IF(F128='DATA - Variabelen &amp; waarden'!B380,'Grote lisdodde'!I130/1000*'Grote lisdodde'!I128,0)</f>
        <v>8</v>
      </c>
      <c r="J132" s="176" t="s">
        <v>206</v>
      </c>
      <c r="L132" s="55"/>
      <c r="M132" s="103"/>
      <c r="N132" s="103"/>
      <c r="O132" s="103"/>
      <c r="P132" s="56"/>
    </row>
    <row r="133" spans="2:16">
      <c r="F133" s="57"/>
      <c r="G133" s="104"/>
      <c r="H133" s="104"/>
      <c r="I133" s="104"/>
      <c r="J133" s="58"/>
      <c r="L133" s="57"/>
      <c r="M133" s="104"/>
      <c r="N133" s="104"/>
      <c r="O133" s="104"/>
      <c r="P133" s="58"/>
    </row>
    <row r="134" spans="2:16" s="202" customFormat="1">
      <c r="B134" s="204"/>
      <c r="C134" s="204"/>
    </row>
    <row r="135" spans="2:16" s="202" customFormat="1"/>
    <row r="136" spans="2:16" s="202" customFormat="1">
      <c r="B136" s="206"/>
    </row>
    <row r="137" spans="2:16" s="202" customFormat="1">
      <c r="B137" s="205"/>
    </row>
    <row r="138" spans="2:16" s="202" customFormat="1"/>
    <row r="139" spans="2:16" s="202" customFormat="1">
      <c r="B139" s="204"/>
      <c r="I139" s="203"/>
    </row>
    <row r="140" spans="2:16" s="202" customFormat="1">
      <c r="I140" s="203"/>
    </row>
    <row r="141" spans="2:16" s="202" customFormat="1">
      <c r="I141" s="203"/>
    </row>
    <row r="142" spans="2:16">
      <c r="B142" s="39"/>
    </row>
    <row r="145" spans="2:3">
      <c r="B145" s="39"/>
      <c r="C145" s="39"/>
    </row>
  </sheetData>
  <mergeCells count="5">
    <mergeCell ref="C94:D94"/>
    <mergeCell ref="C98:D98"/>
    <mergeCell ref="C42:D42"/>
    <mergeCell ref="C51:D51"/>
    <mergeCell ref="C90:D90"/>
  </mergeCells>
  <conditionalFormatting sqref="F71:J74 G79:J79">
    <cfRule type="expression" dxfId="477" priority="7">
      <formula>$F$67="Zaaien"</formula>
    </cfRule>
  </conditionalFormatting>
  <conditionalFormatting sqref="F78:J78">
    <cfRule type="expression" dxfId="476" priority="9">
      <formula>$F$67="Zaaien"</formula>
    </cfRule>
  </conditionalFormatting>
  <conditionalFormatting sqref="F75:J77">
    <cfRule type="expression" dxfId="475" priority="8">
      <formula>$F$67="Planten"</formula>
    </cfRule>
  </conditionalFormatting>
  <conditionalFormatting sqref="F79">
    <cfRule type="expression" dxfId="474" priority="6">
      <formula>$F$67="Planten"</formula>
    </cfRule>
  </conditionalFormatting>
  <conditionalFormatting sqref="L93 F133:J133 L133:P133">
    <cfRule type="expression" dxfId="473" priority="15">
      <formula>$M$89="Nee"</formula>
    </cfRule>
  </conditionalFormatting>
  <dataValidations count="1">
    <dataValidation type="list" allowBlank="1" showInputMessage="1" showErrorMessage="1" sqref="M94" xr:uid="{455AB2F8-8B4B-9B4D-AACE-B30D543FABE1}">
      <formula1>$B$91:$B$92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7E09D50F-2125-A542-82B2-310AF5B971A8}">
          <x14:formula1>
            <xm:f>'DATA - Variabelen &amp; waarden'!$B$376:$B$380</xm:f>
          </x14:formula1>
          <xm:sqref>F128</xm:sqref>
        </x14:dataValidation>
        <x14:dataValidation type="list" allowBlank="1" showInputMessage="1" showErrorMessage="1" xr:uid="{4296D417-6F30-F54B-85CF-67A9E5E0B5E9}">
          <x14:formula1>
            <xm:f>'DATA - Variabelen &amp; waarden'!$B$364:$B$368</xm:f>
          </x14:formula1>
          <xm:sqref>F126</xm:sqref>
        </x14:dataValidation>
        <x14:dataValidation type="list" allowBlank="1" showInputMessage="1" showErrorMessage="1" xr:uid="{AB7F7C75-8C31-F748-AC1C-3D4F4B8E7859}">
          <x14:formula1>
            <xm:f>'DATA - Variabelen &amp; waarden'!$D$323:$G$323</xm:f>
          </x14:formula1>
          <xm:sqref>G119 G122</xm:sqref>
        </x14:dataValidation>
        <x14:dataValidation type="list" allowBlank="1" showInputMessage="1" showErrorMessage="1" xr:uid="{5215052B-9BF6-D74A-BF9B-F578C4A582EA}">
          <x14:formula1>
            <xm:f>'DATA - Variabelen &amp; waarden'!$D$298:$G$298</xm:f>
          </x14:formula1>
          <xm:sqref>G102 G105</xm:sqref>
        </x14:dataValidation>
        <x14:dataValidation type="list" allowBlank="1" showInputMessage="1" showErrorMessage="1" xr:uid="{4DB4797B-01BA-B747-87BA-AEEC89DCE565}">
          <x14:formula1>
            <xm:f>'DATA - Variabelen &amp; waarden'!$D$414:$G$414</xm:f>
          </x14:formula1>
          <xm:sqref>M103</xm:sqref>
        </x14:dataValidation>
        <x14:dataValidation type="list" allowBlank="1" showInputMessage="1" showErrorMessage="1" xr:uid="{AF22F8D8-132A-0B4D-BD30-62B55EF25A25}">
          <x14:formula1>
            <xm:f>'DATA - Variabelen &amp; waarden'!$B$341:$B$346</xm:f>
          </x14:formula1>
          <xm:sqref>F109</xm:sqref>
        </x14:dataValidation>
        <x14:dataValidation type="list" allowBlank="1" showInputMessage="1" showErrorMessage="1" xr:uid="{114AE38E-0CB0-4C43-B355-23170168A4FA}">
          <x14:formula1>
            <xm:f>'DATA - Variabelen &amp; waarden'!$B$393:$B$394</xm:f>
          </x14:formula1>
          <xm:sqref>M89</xm:sqref>
        </x14:dataValidation>
        <x14:dataValidation type="list" allowBlank="1" showInputMessage="1" showErrorMessage="1" xr:uid="{4B15B68B-3DA0-C743-B067-B679491DF238}">
          <x14:formula1>
            <xm:f>'DATA - Variabelen &amp; waarden'!$D$382:$G$382</xm:f>
          </x14:formula1>
          <xm:sqref>M100</xm:sqref>
        </x14:dataValidation>
        <x14:dataValidation type="list" allowBlank="1" showInputMessage="1" showErrorMessage="1" xr:uid="{D347807D-9E49-E342-87CE-168C378D07A3}">
          <x14:formula1>
            <xm:f>'DATA - Variabelen &amp; waarden'!$D$370:$G$370</xm:f>
          </x14:formula1>
          <xm:sqref>G130</xm:sqref>
        </x14:dataValidation>
        <x14:dataValidation type="list" allowBlank="1" showInputMessage="1" showErrorMessage="1" xr:uid="{42D97B37-A3C9-B14F-80F9-ABD4AE98FB1E}">
          <x14:formula1>
            <xm:f>'DATA - Variabelen &amp; waarden'!$B$371:$B$373</xm:f>
          </x14:formula1>
          <xm:sqref>F130</xm:sqref>
        </x14:dataValidation>
        <x14:dataValidation type="list" allowBlank="1" showInputMessage="1" showErrorMessage="1" xr:uid="{F68B515D-9B2A-234C-A92B-9853B3C4ECBA}">
          <x14:formula1>
            <xm:f>'DATA - Variabelen &amp; waarden'!$D$357:$G$357</xm:f>
          </x14:formula1>
          <xm:sqref>G113</xm:sqref>
        </x14:dataValidation>
        <x14:dataValidation type="list" allowBlank="1" showInputMessage="1" showErrorMessage="1" xr:uid="{E457193E-CF61-624E-93E3-D8DD90EB65E6}">
          <x14:formula1>
            <xm:f>'DATA - Variabelen &amp; waarden'!$B$358:$B$361</xm:f>
          </x14:formula1>
          <xm:sqref>F113</xm:sqref>
        </x14:dataValidation>
        <x14:dataValidation type="list" allowBlank="1" showInputMessage="1" showErrorMessage="1" xr:uid="{FBC4A2A3-2373-D64D-9B44-AEBFFF651CDA}">
          <x14:formula1>
            <xm:f>'DATA - Variabelen &amp; waarden'!$B$349:$B$355</xm:f>
          </x14:formula1>
          <xm:sqref>F111</xm:sqref>
        </x14:dataValidation>
        <x14:dataValidation type="list" allowBlank="1" showInputMessage="1" showErrorMessage="1" xr:uid="{884C0D9B-890C-574E-B4C3-8BC062532108}">
          <x14:formula1>
            <xm:f>'DATA - Variabelen &amp; waarden'!$D$348:$G$348</xm:f>
          </x14:formula1>
          <xm:sqref>G111</xm:sqref>
        </x14:dataValidation>
        <x14:dataValidation type="list" allowBlank="1" showInputMessage="1" showErrorMessage="1" xr:uid="{E7DBEEDE-CEB1-E749-871B-192E0516E37F}">
          <x14:formula1>
            <xm:f>'DATA - Variabelen &amp; waarden'!$D$340:$G$340</xm:f>
          </x14:formula1>
          <xm:sqref>G109</xm:sqref>
        </x14:dataValidation>
        <x14:dataValidation type="list" allowBlank="1" showInputMessage="1" showErrorMessage="1" xr:uid="{AD36F62E-2A18-C048-91B4-DE72CCC7E278}">
          <x14:formula1>
            <xm:f>'DATA - Variabelen &amp; waarden'!$D$22:$G$22</xm:f>
          </x14:formula1>
          <xm:sqref>G46:G47 G49:G50 G58:G62 G52:G53 G55:G56</xm:sqref>
        </x14:dataValidation>
        <x14:dataValidation type="list" allowBlank="1" showInputMessage="1" showErrorMessage="1" xr:uid="{2193885B-B15D-B24C-AB7A-636F5206374B}">
          <x14:formula1>
            <xm:f>'DATA - Variabelen &amp; waarden'!$D$45:$G$45</xm:f>
          </x14:formula1>
          <xm:sqref>G69:G73 G75 G79 G77</xm:sqref>
        </x14:dataValidation>
        <x14:dataValidation type="list" allowBlank="1" showInputMessage="1" showErrorMessage="1" xr:uid="{5B9319A3-8DDF-454C-9BD5-B098BE1AF6CC}">
          <x14:formula1>
            <xm:f>'DATA - Variabelen &amp; waarden'!$D$56:$G$56</xm:f>
          </x14:formula1>
          <xm:sqref>M51:M54 M56:M57 M43:M46 M48:M49</xm:sqref>
        </x14:dataValidation>
        <x14:dataValidation type="list" allowBlank="1" showInputMessage="1" showErrorMessage="1" xr:uid="{4C3DC802-E3DB-5346-A9AF-2E482663D760}">
          <x14:formula1>
            <xm:f>'DATA - Variabelen &amp; waarden'!$D$74:$G$74</xm:f>
          </x14:formula1>
          <xm:sqref>M61:M63</xm:sqref>
        </x14:dataValidation>
        <x14:dataValidation type="list" allowBlank="1" showInputMessage="1" showErrorMessage="1" xr:uid="{262D3163-A315-8848-9632-50E97E24FEF3}">
          <x14:formula1>
            <xm:f>'DATA - Variabelen &amp; waarden'!$D$79:$G$79</xm:f>
          </x14:formula1>
          <xm:sqref>M66:M67</xm:sqref>
        </x14:dataValidation>
        <x14:dataValidation type="list" allowBlank="1" showInputMessage="1" showErrorMessage="1" xr:uid="{4B8E84A4-5520-2B49-B708-F34E4CBFED2F}">
          <x14:formula1>
            <xm:f>'DATA - Variabelen &amp; waarden'!$D$83:$G$83</xm:f>
          </x14:formula1>
          <xm:sqref>M70:M76</xm:sqref>
        </x14:dataValidation>
        <x14:dataValidation type="list" allowBlank="1" showInputMessage="1" showErrorMessage="1" xr:uid="{E6FF93D8-6CB0-424E-AAC4-33803946DB95}">
          <x14:formula1>
            <xm:f>'DATA - Variabelen &amp; waarden'!$D$92:$G$92</xm:f>
          </x14:formula1>
          <xm:sqref>M79:M80 M82</xm:sqref>
        </x14:dataValidation>
        <x14:dataValidation type="list" allowBlank="1" showInputMessage="1" showErrorMessage="1" xr:uid="{D9156B9E-F597-F140-9F93-B4C6CF5BC989}">
          <x14:formula1>
            <xm:f>'DATA - Variabelen &amp; waarden'!$B$288:$B$296</xm:f>
          </x14:formula1>
          <xm:sqref>F101</xm:sqref>
        </x14:dataValidation>
        <x14:dataValidation type="list" allowBlank="1" showInputMessage="1" showErrorMessage="1" xr:uid="{83CE3A20-5690-044D-8554-8AFE4EB7C083}">
          <x14:formula1>
            <xm:f>'DATA - Variabelen &amp; waarden'!$D$187:$G$187</xm:f>
          </x14:formula1>
          <xm:sqref>G90:G91 M91:M92 G94:G95</xm:sqref>
        </x14:dataValidation>
        <x14:dataValidation type="list" allowBlank="1" showInputMessage="1" showErrorMessage="1" xr:uid="{BA90E850-7136-7640-81D8-2256EB5A024F}">
          <x14:formula1>
            <xm:f>'DATA - Variabelen &amp; waarden'!$D$287:$G$287</xm:f>
          </x14:formula1>
          <xm:sqref>G101</xm:sqref>
        </x14:dataValidation>
        <x14:dataValidation type="list" allowBlank="1" showInputMessage="1" showErrorMessage="1" xr:uid="{7F2CDBFD-B02E-5044-BF33-43CBCE6C15FF}">
          <x14:formula1>
            <xm:f>'DATA - Variabelen &amp; waarden'!$D$309:$G$309</xm:f>
          </x14:formula1>
          <xm:sqref>G104</xm:sqref>
        </x14:dataValidation>
        <x14:dataValidation type="list" allowBlank="1" showInputMessage="1" showErrorMessage="1" xr:uid="{BEA3FEF4-B6F4-154D-9586-3BBC227FEB21}">
          <x14:formula1>
            <xm:f>'DATA - Variabelen &amp; waarden'!$B$316:$B$321</xm:f>
          </x14:formula1>
          <xm:sqref>F118</xm:sqref>
        </x14:dataValidation>
        <x14:dataValidation type="list" allowBlank="1" showInputMessage="1" showErrorMessage="1" xr:uid="{E808DEFF-4D85-F14F-8B29-8F0050C03482}">
          <x14:formula1>
            <xm:f>'DATA - Variabelen &amp; waarden'!$D$315:$G$315</xm:f>
          </x14:formula1>
          <xm:sqref>G118</xm:sqref>
        </x14:dataValidation>
        <x14:dataValidation type="list" allowBlank="1" showInputMessage="1" showErrorMessage="1" xr:uid="{B5821342-C033-B240-BBD0-CDA556EB8E03}">
          <x14:formula1>
            <xm:f>'DATA - Variabelen &amp; waarden'!$D$331:$G$331</xm:f>
          </x14:formula1>
          <xm:sqref>G121</xm:sqref>
        </x14:dataValidation>
        <x14:dataValidation type="list" allowBlank="1" showInputMessage="1" showErrorMessage="1" xr:uid="{CFC925E2-C314-2A42-AD66-C152BD724A1E}">
          <x14:formula1>
            <xm:f>'DATA - Variabelen &amp; waarden'!$D$363:$G$363</xm:f>
          </x14:formula1>
          <xm:sqref>G126</xm:sqref>
        </x14:dataValidation>
        <x14:dataValidation type="list" allowBlank="1" showInputMessage="1" showErrorMessage="1" xr:uid="{C07097BC-4855-C247-8B3A-0B735487FAB0}">
          <x14:formula1>
            <xm:f>'DATA - Variabelen &amp; waarden'!$D$375:$G$375</xm:f>
          </x14:formula1>
          <xm:sqref>G128</xm:sqref>
        </x14:dataValidation>
        <x14:dataValidation type="list" allowBlank="1" showInputMessage="1" showErrorMessage="1" xr:uid="{39F484F2-7FC5-8543-98C6-60A1243EA6F7}">
          <x14:formula1>
            <xm:f>'DATA - Variabelen &amp; waarden'!$D$405:$G$405</xm:f>
          </x14:formula1>
          <xm:sqref>M116</xm:sqref>
        </x14:dataValidation>
        <x14:dataValidation type="list" allowBlank="1" showInputMessage="1" showErrorMessage="1" xr:uid="{6749FA8E-6873-1648-9C2B-4F515DDE4F1C}">
          <x14:formula1>
            <xm:f>'DATA - Variabelen &amp; waarden'!$D$396:$G$396</xm:f>
          </x14:formula1>
          <xm:sqref>M115</xm:sqref>
        </x14:dataValidation>
        <x14:dataValidation type="list" allowBlank="1" showInputMessage="1" showErrorMessage="1" xr:uid="{9471BDAE-5440-9E4C-8B19-0CAC32CF0D8D}">
          <x14:formula1>
            <xm:f>'DATA - Variabelen &amp; waarden'!$B$397:$B$403</xm:f>
          </x14:formula1>
          <xm:sqref>L115</xm:sqref>
        </x14:dataValidation>
        <x14:dataValidation type="list" allowBlank="1" showInputMessage="1" showErrorMessage="1" xr:uid="{76B72357-5CEA-1444-A249-C5B3A3224C37}">
          <x14:formula1>
            <xm:f>'DATA - Variabelen &amp; waarden'!$D$387:$G$387</xm:f>
          </x14:formula1>
          <xm:sqref>M111 M107</xm:sqref>
        </x14:dataValidation>
        <x14:dataValidation type="list" allowBlank="1" showInputMessage="1" showErrorMessage="1" xr:uid="{510D620D-1893-0A4D-BA18-1AB2F07CC4D7}">
          <x14:formula1>
            <xm:f>'DATA - Variabelen &amp; waarden'!$B$388:$B$390</xm:f>
          </x14:formula1>
          <xm:sqref>L111 L107</xm:sqref>
        </x14:dataValidation>
        <x14:dataValidation type="list" allowBlank="1" showInputMessage="1" showErrorMessage="1" xr:uid="{9BAD7654-FE54-094D-951D-D00857333B3B}">
          <x14:formula1>
            <xm:f>'DATA - Variabelen &amp; waarden'!$B$42:$B$43</xm:f>
          </x14:formula1>
          <xm:sqref>F67</xm:sqref>
        </x14:dataValidation>
        <x14:dataValidation type="list" allowBlank="1" showInputMessage="1" showErrorMessage="1" xr:uid="{C218754B-A086-5045-A979-DADACA97B3D3}">
          <x14:formula1>
            <xm:f>'DATA - Variabelen &amp; waarden'!$B$106:$B$112</xm:f>
          </x14:formula1>
          <xm:sqref>F65</xm:sqref>
        </x14:dataValidation>
        <x14:dataValidation type="list" allowBlank="1" showInputMessage="1" showErrorMessage="1" xr:uid="{865AF406-523E-784E-8619-B48D1CC00C99}">
          <x14:formula1>
            <xm:f>'DATA - Variabelen &amp; waarden'!$B$7:$B$20</xm:f>
          </x14:formula1>
          <xm:sqref>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28DD-1B14-4F9E-BA1D-84D47E27C424}">
  <sheetPr>
    <tabColor theme="9" tint="0.39997558519241921"/>
  </sheetPr>
  <dimension ref="B1:Z145"/>
  <sheetViews>
    <sheetView showGridLines="0" zoomScaleNormal="100" workbookViewId="0">
      <pane ySplit="2" topLeftCell="A12" activePane="bottomLeft" state="frozen"/>
      <selection pane="bottomLeft" activeCell="L115" sqref="L115"/>
    </sheetView>
  </sheetViews>
  <sheetFormatPr defaultColWidth="11" defaultRowHeight="15.5"/>
  <cols>
    <col min="1" max="1" width="3" customWidth="1"/>
    <col min="2" max="2" width="35.9140625" customWidth="1"/>
    <col min="3" max="3" width="13.4140625" customWidth="1"/>
    <col min="4" max="4" width="10.9140625" customWidth="1"/>
    <col min="5" max="5" width="3" customWidth="1"/>
    <col min="6" max="6" width="34.9140625" customWidth="1"/>
    <col min="7" max="7" width="13.4140625" customWidth="1"/>
    <col min="8" max="8" width="10.9140625" customWidth="1"/>
    <col min="9" max="9" width="10.9140625" style="3" customWidth="1"/>
    <col min="10" max="10" width="10.9140625" customWidth="1"/>
    <col min="11" max="11" width="3" customWidth="1"/>
    <col min="12" max="12" width="32.9140625" customWidth="1"/>
    <col min="13" max="13" width="13.4140625" customWidth="1"/>
    <col min="14" max="14" width="12.58203125" customWidth="1"/>
    <col min="15" max="15" width="13.4140625" customWidth="1"/>
    <col min="16" max="16" width="10.9140625" customWidth="1"/>
    <col min="17" max="17" width="3" customWidth="1"/>
    <col min="18" max="18" width="12.58203125" customWidth="1"/>
    <col min="19" max="19" width="13.4140625" customWidth="1"/>
    <col min="20" max="20" width="10.9140625" customWidth="1"/>
    <col min="21" max="21" width="3" customWidth="1"/>
    <col min="22" max="22" width="32.9140625" customWidth="1"/>
    <col min="23" max="23" width="13.4140625" customWidth="1"/>
    <col min="24" max="24" width="12.58203125" customWidth="1"/>
    <col min="25" max="25" width="13.4140625" customWidth="1"/>
    <col min="27" max="27" width="3" customWidth="1"/>
    <col min="28" max="28" width="32.9140625" customWidth="1"/>
    <col min="29" max="29" width="13.4140625" customWidth="1"/>
    <col min="30" max="30" width="12.58203125" customWidth="1"/>
    <col min="31" max="31" width="13.4140625" customWidth="1"/>
    <col min="32" max="32" width="10.9140625" customWidth="1"/>
    <col min="33" max="33" width="3" customWidth="1"/>
    <col min="34" max="34" width="13.4140625" customWidth="1"/>
    <col min="39" max="39" width="10.9140625" customWidth="1"/>
    <col min="40" max="40" width="3" customWidth="1"/>
    <col min="41" max="42" width="28.9140625" customWidth="1"/>
    <col min="43" max="43" width="13.4140625" customWidth="1"/>
  </cols>
  <sheetData>
    <row r="1" spans="2:26">
      <c r="D1" s="35"/>
      <c r="I1"/>
    </row>
    <row r="2" spans="2:26" ht="18.5">
      <c r="B2" s="66" t="s">
        <v>85</v>
      </c>
      <c r="C2" s="69"/>
      <c r="D2" s="70"/>
      <c r="E2" s="69"/>
      <c r="F2" s="71"/>
      <c r="G2" s="69"/>
      <c r="H2" s="69"/>
      <c r="I2" s="71"/>
      <c r="J2" s="69"/>
      <c r="K2" s="69"/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2:26">
      <c r="D3" s="72"/>
      <c r="F3" s="4"/>
      <c r="I3" s="4"/>
      <c r="L3" s="4"/>
    </row>
    <row r="4" spans="2:26">
      <c r="B4" s="61" t="s">
        <v>86</v>
      </c>
      <c r="C4" s="218"/>
      <c r="D4" s="60"/>
      <c r="F4" s="4"/>
      <c r="I4" s="4"/>
      <c r="L4" s="4"/>
    </row>
    <row r="5" spans="2:26">
      <c r="B5" s="81"/>
      <c r="C5" s="226"/>
      <c r="D5" s="56"/>
      <c r="F5" s="4"/>
      <c r="I5" s="4"/>
      <c r="L5" s="4"/>
    </row>
    <row r="6" spans="2:26">
      <c r="B6" s="230" t="s">
        <v>87</v>
      </c>
      <c r="C6" s="228">
        <f>SUM(C7,C10)</f>
        <v>3062.91</v>
      </c>
      <c r="D6" s="56" t="s">
        <v>88</v>
      </c>
      <c r="F6" s="4"/>
      <c r="I6" s="4"/>
      <c r="L6" s="4"/>
    </row>
    <row r="7" spans="2:26">
      <c r="B7" s="76" t="s">
        <v>89</v>
      </c>
      <c r="C7" s="46">
        <f>SUM(C8:C9)</f>
        <v>2800</v>
      </c>
      <c r="D7" s="56"/>
      <c r="F7" s="4"/>
      <c r="I7" s="4"/>
      <c r="L7" s="4"/>
    </row>
    <row r="8" spans="2:26">
      <c r="B8" s="231" t="str">
        <f>B95</f>
        <v>Gehele plant</v>
      </c>
      <c r="C8" s="42">
        <f>C95</f>
        <v>2400</v>
      </c>
      <c r="D8" s="56"/>
      <c r="F8" s="4"/>
      <c r="I8" s="4"/>
      <c r="L8" s="4"/>
    </row>
    <row r="9" spans="2:26">
      <c r="B9" s="231" t="str">
        <f>B96</f>
        <v>Aren</v>
      </c>
      <c r="C9" s="42">
        <f>C96</f>
        <v>400</v>
      </c>
      <c r="D9" s="56"/>
      <c r="F9" s="4"/>
      <c r="I9" s="4"/>
      <c r="L9" s="4"/>
    </row>
    <row r="10" spans="2:26">
      <c r="B10" s="143" t="s">
        <v>90</v>
      </c>
      <c r="C10" s="46">
        <f>SUM(C11:C12)</f>
        <v>262.91000000000003</v>
      </c>
      <c r="D10" s="56" t="s">
        <v>88</v>
      </c>
      <c r="F10" s="4"/>
      <c r="I10" s="4"/>
      <c r="L10" s="4"/>
    </row>
    <row r="11" spans="2:26">
      <c r="B11" s="231" t="s">
        <v>91</v>
      </c>
      <c r="C11" s="227">
        <v>262.91000000000003</v>
      </c>
      <c r="D11" s="56"/>
      <c r="F11" s="4"/>
      <c r="I11" s="4"/>
      <c r="L11" s="4"/>
    </row>
    <row r="12" spans="2:26">
      <c r="B12" s="231" t="s">
        <v>92</v>
      </c>
      <c r="C12" s="126"/>
      <c r="D12" s="56"/>
      <c r="F12" s="4"/>
      <c r="I12" s="4"/>
      <c r="L12" s="4"/>
    </row>
    <row r="13" spans="2:26">
      <c r="B13" s="81"/>
      <c r="C13" s="226"/>
      <c r="D13" s="56"/>
      <c r="F13" s="4"/>
      <c r="I13" s="4"/>
      <c r="L13" s="4"/>
    </row>
    <row r="14" spans="2:26">
      <c r="B14" s="230" t="s">
        <v>81</v>
      </c>
      <c r="C14" s="228">
        <f>SUM(C15:C20)</f>
        <v>1875.4</v>
      </c>
      <c r="D14" s="56" t="s">
        <v>88</v>
      </c>
      <c r="F14" s="4"/>
      <c r="I14" s="4"/>
      <c r="L14" s="4"/>
    </row>
    <row r="15" spans="2:26">
      <c r="B15" s="231" t="str">
        <f t="shared" ref="B15:C19" si="0">B43</f>
        <v>Grondgebruik</v>
      </c>
      <c r="C15" s="43">
        <f t="shared" si="0"/>
        <v>486</v>
      </c>
      <c r="D15" s="111"/>
      <c r="F15" s="4"/>
      <c r="I15" s="4"/>
      <c r="L15" s="4"/>
    </row>
    <row r="16" spans="2:26">
      <c r="B16" s="231" t="str">
        <f t="shared" si="0"/>
        <v>Gewasverzorging</v>
      </c>
      <c r="C16" s="43">
        <f t="shared" si="0"/>
        <v>460</v>
      </c>
      <c r="D16" s="56"/>
      <c r="F16" s="4"/>
      <c r="I16" s="4"/>
      <c r="L16" s="4"/>
    </row>
    <row r="17" spans="2:12">
      <c r="B17" s="231" t="str">
        <f t="shared" si="0"/>
        <v>Energieverbruik en water</v>
      </c>
      <c r="C17" s="43">
        <f t="shared" si="0"/>
        <v>100</v>
      </c>
      <c r="D17" s="56"/>
      <c r="F17" s="4"/>
      <c r="I17" s="4"/>
      <c r="L17" s="4"/>
    </row>
    <row r="18" spans="2:12">
      <c r="B18" s="231" t="str">
        <f t="shared" si="0"/>
        <v>Belastingen en verzekeringen</v>
      </c>
      <c r="C18" s="43">
        <f t="shared" si="0"/>
        <v>175</v>
      </c>
      <c r="D18" s="56"/>
      <c r="F18" s="4"/>
      <c r="I18" s="4"/>
      <c r="L18" s="4"/>
    </row>
    <row r="19" spans="2:12">
      <c r="B19" s="231" t="str">
        <f t="shared" si="0"/>
        <v>Onderhoud</v>
      </c>
      <c r="C19" s="43">
        <f t="shared" si="0"/>
        <v>205</v>
      </c>
      <c r="D19" s="56"/>
      <c r="F19" s="4"/>
      <c r="I19" s="4"/>
      <c r="L19" s="4"/>
    </row>
    <row r="20" spans="2:12">
      <c r="B20" s="231" t="s">
        <v>93</v>
      </c>
      <c r="C20" s="43">
        <f>C104</f>
        <v>449.4</v>
      </c>
      <c r="D20" s="56"/>
      <c r="F20" s="4"/>
      <c r="I20" s="4"/>
      <c r="L20" s="4"/>
    </row>
    <row r="21" spans="2:12">
      <c r="B21" s="55"/>
      <c r="C21" s="103"/>
      <c r="D21" s="56"/>
      <c r="F21" s="4"/>
      <c r="I21" s="4"/>
      <c r="L21" s="4"/>
    </row>
    <row r="22" spans="2:12">
      <c r="B22" s="230" t="s">
        <v>82</v>
      </c>
      <c r="C22" s="228">
        <f>C6-C14</f>
        <v>1187.5099999999998</v>
      </c>
      <c r="D22" s="56" t="s">
        <v>88</v>
      </c>
      <c r="F22" s="4"/>
      <c r="I22" s="4"/>
      <c r="L22" s="4"/>
    </row>
    <row r="23" spans="2:12">
      <c r="B23" s="55"/>
      <c r="C23" s="103"/>
      <c r="D23" s="56"/>
      <c r="F23" s="4"/>
      <c r="I23" s="4"/>
      <c r="L23" s="4"/>
    </row>
    <row r="24" spans="2:12">
      <c r="B24" s="230" t="s">
        <v>83</v>
      </c>
      <c r="C24" s="228">
        <f>SUM(C25:C31)</f>
        <v>1099.7472130595245</v>
      </c>
      <c r="D24" s="56" t="s">
        <v>88</v>
      </c>
      <c r="F24" s="4"/>
      <c r="I24" s="4"/>
      <c r="L24" s="4"/>
    </row>
    <row r="25" spans="2:12">
      <c r="B25" s="231" t="str">
        <f>B48</f>
        <v>Afschrijving &amp; aflossing teeltinvesteringen</v>
      </c>
      <c r="C25" s="42">
        <f>C48</f>
        <v>1099.7472130595245</v>
      </c>
      <c r="D25" s="56"/>
      <c r="F25" s="4"/>
      <c r="I25" s="4"/>
      <c r="L25" s="4"/>
    </row>
    <row r="26" spans="2:12">
      <c r="B26" s="231" t="s">
        <v>94</v>
      </c>
      <c r="C26" s="126"/>
      <c r="D26" s="56"/>
      <c r="F26" s="4"/>
      <c r="I26" s="4"/>
      <c r="L26" s="4"/>
    </row>
    <row r="27" spans="2:12">
      <c r="B27" s="231" t="s">
        <v>95</v>
      </c>
      <c r="C27" s="126"/>
      <c r="D27" s="56"/>
      <c r="F27" s="4"/>
      <c r="I27" s="4"/>
      <c r="L27" s="4"/>
    </row>
    <row r="28" spans="2:12">
      <c r="B28" s="231" t="s">
        <v>96</v>
      </c>
      <c r="C28" s="126"/>
      <c r="D28" s="56"/>
      <c r="F28" s="4"/>
      <c r="I28" s="4"/>
      <c r="L28" s="4"/>
    </row>
    <row r="29" spans="2:12">
      <c r="B29" s="231" t="s">
        <v>97</v>
      </c>
      <c r="C29" s="126"/>
      <c r="D29" s="56"/>
      <c r="F29" s="4"/>
      <c r="I29" s="4"/>
      <c r="L29" s="4"/>
    </row>
    <row r="30" spans="2:12">
      <c r="B30" s="231" t="s">
        <v>98</v>
      </c>
      <c r="C30" s="126"/>
      <c r="D30" s="56"/>
      <c r="F30" s="4"/>
      <c r="I30" s="4"/>
      <c r="L30" s="4"/>
    </row>
    <row r="31" spans="2:12">
      <c r="B31" s="231" t="s">
        <v>99</v>
      </c>
      <c r="C31" s="126"/>
      <c r="D31" s="56"/>
      <c r="F31" s="4"/>
      <c r="I31" s="4"/>
      <c r="L31" s="4"/>
    </row>
    <row r="32" spans="2:12">
      <c r="B32" s="55"/>
      <c r="C32" s="43"/>
      <c r="D32" s="56"/>
      <c r="F32" s="4"/>
      <c r="I32" s="4"/>
      <c r="L32" s="4"/>
    </row>
    <row r="33" spans="2:26">
      <c r="B33" s="230" t="s">
        <v>100</v>
      </c>
      <c r="C33" s="228">
        <f>C22-C24</f>
        <v>87.76278694047528</v>
      </c>
      <c r="D33" s="56" t="s">
        <v>101</v>
      </c>
      <c r="F33" s="4"/>
      <c r="I33" s="4"/>
      <c r="L33" s="4"/>
    </row>
    <row r="34" spans="2:26">
      <c r="B34" s="57"/>
      <c r="C34" s="229"/>
      <c r="D34" s="58"/>
      <c r="F34" s="4"/>
      <c r="I34" s="4"/>
      <c r="L34" s="4"/>
    </row>
    <row r="35" spans="2:26">
      <c r="D35" s="72"/>
      <c r="F35" s="4"/>
      <c r="I35" s="4"/>
      <c r="L35" s="4"/>
    </row>
    <row r="36" spans="2:26" ht="18.5">
      <c r="B36" s="154" t="s">
        <v>102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2:26">
      <c r="I37" s="106"/>
    </row>
    <row r="38" spans="2:26" s="75" customFormat="1" ht="17">
      <c r="B38" s="74" t="s">
        <v>103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40" spans="2:26">
      <c r="B40" s="61" t="s">
        <v>104</v>
      </c>
      <c r="C40" s="218" t="str">
        <f>F65</f>
        <v>Kleine lisdodde</v>
      </c>
      <c r="D40" s="60"/>
      <c r="F40" s="61" t="s">
        <v>105</v>
      </c>
      <c r="G40" s="105"/>
      <c r="H40" s="105"/>
      <c r="I40" s="110"/>
      <c r="J40" s="60"/>
      <c r="L40" s="61" t="s">
        <v>106</v>
      </c>
      <c r="M40" s="105"/>
      <c r="N40" s="105"/>
      <c r="O40" s="105"/>
      <c r="P40" s="60"/>
    </row>
    <row r="41" spans="2:26">
      <c r="B41" s="55"/>
      <c r="C41" s="103"/>
      <c r="D41" s="56"/>
      <c r="F41" s="76" t="s">
        <v>107</v>
      </c>
      <c r="G41" s="103"/>
      <c r="H41" s="103"/>
      <c r="I41" s="73"/>
      <c r="J41" s="56"/>
      <c r="L41" s="81"/>
      <c r="M41" s="103"/>
      <c r="N41" s="103"/>
      <c r="O41" s="103"/>
      <c r="P41" s="56"/>
    </row>
    <row r="42" spans="2:26" ht="16" thickBot="1">
      <c r="B42" s="76" t="s">
        <v>108</v>
      </c>
      <c r="C42" s="340" t="s">
        <v>109</v>
      </c>
      <c r="D42" s="341"/>
      <c r="F42" s="149" t="s">
        <v>110</v>
      </c>
      <c r="G42" s="103"/>
      <c r="H42" s="64" t="s">
        <v>111</v>
      </c>
      <c r="I42" s="43"/>
      <c r="J42" s="56"/>
      <c r="L42" s="163" t="str" cm="1">
        <f t="array" ref="L42:L58">CultCost01[[#All],[Gewasverzorging]]</f>
        <v>Gewasverzorging</v>
      </c>
      <c r="M42" s="63" t="s">
        <v>112</v>
      </c>
      <c r="N42" s="64" t="s">
        <v>111</v>
      </c>
      <c r="O42" s="46">
        <f>SUM(O43:O47,O50,O55,O58)</f>
        <v>460</v>
      </c>
      <c r="P42" s="111" t="s">
        <v>88</v>
      </c>
    </row>
    <row r="43" spans="2:26" ht="16.5" thickTop="1" thickBot="1">
      <c r="B43" s="55" t="str">
        <f>F41</f>
        <v>Grondgebruik</v>
      </c>
      <c r="C43" s="42">
        <f>I43</f>
        <v>486</v>
      </c>
      <c r="D43" s="56" t="s">
        <v>88</v>
      </c>
      <c r="F43" s="62" t="s">
        <v>113</v>
      </c>
      <c r="G43" s="103"/>
      <c r="H43" s="126"/>
      <c r="I43" s="41">
        <f>IF(ISBLANK(H43),_xlfn.XLOOKUP(F43,PachtPrijs[Pachtprijs - per regio],PachtPrijs[Regionorm 2020]),H43)</f>
        <v>486</v>
      </c>
      <c r="J43" s="111" t="s">
        <v>88</v>
      </c>
      <c r="L43" s="55" t="str">
        <v>Meststoffen</v>
      </c>
      <c r="M43" s="49" t="s">
        <v>114</v>
      </c>
      <c r="N43" s="45"/>
      <c r="O43" s="107" cm="1">
        <f t="array" ref="O43">IF(ISBLANK(N43),INDEX(CultCost01[[#All],[Geen]:[Waarde MIN]],_xlfn.XMATCH('Kleine lisdodde'!L43,CultCost01[[#All],[Gewasverzorging]]),_xlfn.XMATCH('Kleine lisdodde'!M43,CultCost01[[#Headers],[Geen]:[Waarde MIN]])),N43)</f>
        <v>0</v>
      </c>
      <c r="P43" s="56" t="s">
        <v>88</v>
      </c>
    </row>
    <row r="44" spans="2:26" ht="16.5" thickTop="1" thickBot="1">
      <c r="B44" s="55" t="str">
        <f>L42</f>
        <v>Gewasverzorging</v>
      </c>
      <c r="C44" s="42">
        <f>O42</f>
        <v>460</v>
      </c>
      <c r="D44" s="56" t="s">
        <v>88</v>
      </c>
      <c r="F44" s="55"/>
      <c r="G44" s="103"/>
      <c r="H44" s="103"/>
      <c r="I44" s="43"/>
      <c r="J44" s="56"/>
      <c r="L44" s="55" t="str">
        <v>Gewasbeschermingsmiddelen</v>
      </c>
      <c r="M44" s="49" t="s">
        <v>114</v>
      </c>
      <c r="N44" s="45"/>
      <c r="O44" s="107" cm="1">
        <f t="array" ref="O44">IF(ISBLANK(N44),INDEX(CultCost01[[#All],[Geen]:[Waarde MIN]],_xlfn.XMATCH('Kleine lisdodde'!L44,CultCost01[[#All],[Gewasverzorging]]),_xlfn.XMATCH('Kleine lisdodde'!M44,CultCost01[[#Headers],[Geen]:[Waarde MIN]])),N44)</f>
        <v>0</v>
      </c>
      <c r="P44" s="56" t="s">
        <v>88</v>
      </c>
    </row>
    <row r="45" spans="2:26" ht="16.5" thickTop="1" thickBot="1">
      <c r="B45" s="55" t="str">
        <f>L60</f>
        <v>Energieverbruik en water</v>
      </c>
      <c r="C45" s="42">
        <f>O60</f>
        <v>100</v>
      </c>
      <c r="D45" s="56" t="s">
        <v>88</v>
      </c>
      <c r="F45" s="76" t="s">
        <v>115</v>
      </c>
      <c r="G45" s="63" t="s">
        <v>112</v>
      </c>
      <c r="H45" s="64" t="s">
        <v>111</v>
      </c>
      <c r="I45" s="46">
        <f>SUM(I48,I51,I54,I57,I58,I59,I60,I61,I62)</f>
        <v>7300</v>
      </c>
      <c r="J45" s="111" t="s">
        <v>88</v>
      </c>
      <c r="L45" s="114" t="str">
        <v>Ongediertebestrijding - uren</v>
      </c>
      <c r="M45" s="49" t="s">
        <v>79</v>
      </c>
      <c r="N45" s="45"/>
      <c r="O45" s="169" cm="1">
        <f t="array" ref="O45">IF(ISBLANK(N45),INDEX(CultCost01[[#All],[Geen]:[Waarde MIN]],_xlfn.XMATCH('Kleine lisdodde'!L45,CultCost01[[#All],[Gewasverzorging]]),_xlfn.XMATCH('Kleine lisdodde'!M45,CultCost01[[#Headers],[Geen]:[Waarde MIN]])),N45)</f>
        <v>5</v>
      </c>
      <c r="P45" s="116" t="s">
        <v>116</v>
      </c>
    </row>
    <row r="46" spans="2:26" ht="16.5" thickTop="1" thickBot="1">
      <c r="B46" s="55" t="str">
        <f>L65</f>
        <v>Belastingen en verzekeringen</v>
      </c>
      <c r="C46" s="42">
        <f>O65</f>
        <v>175</v>
      </c>
      <c r="D46" s="56" t="s">
        <v>88</v>
      </c>
      <c r="F46" s="114" t="str" cm="1">
        <f t="array" ref="F46:F62">CultInvest01[Teelt - Investeringen perceel]</f>
        <v>Grondverzet - uren per hectare</v>
      </c>
      <c r="G46" s="49" t="s">
        <v>79</v>
      </c>
      <c r="H46" s="45"/>
      <c r="I46" s="108" cm="1">
        <f t="array" ref="I46">IF(ISBLANK(H46),INDEX(CultInvest01[[#All],[Geen]:[Waarde MIN]],_xlfn.XMATCH('Kleine lisdodde'!F46,CultInvest01[[#All],[Teelt - Investeringen perceel]]),_xlfn.XMATCH('Kleine lisdodde'!G46,CultInvest01[[#Headers],[Geen]:[Waarde MIN]])),H46)</f>
        <v>40</v>
      </c>
      <c r="J46" s="109" t="s">
        <v>116</v>
      </c>
      <c r="L46" s="114" t="str">
        <v>Ongediertebestrijding - tarief</v>
      </c>
      <c r="M46" s="49" t="s">
        <v>79</v>
      </c>
      <c r="N46" s="45"/>
      <c r="O46" s="115" cm="1">
        <f t="array" ref="O46">IF(ISBLANK(N46),INDEX(CultCost01[[#All],[Geen]:[Waarde MIN]],_xlfn.XMATCH('Kleine lisdodde'!L46,CultCost01[[#All],[Gewasverzorging]]),_xlfn.XMATCH('Kleine lisdodde'!M46,CultCost01[[#Headers],[Geen]:[Waarde MIN]])),N46)</f>
        <v>25</v>
      </c>
      <c r="P46" s="116" t="s">
        <v>117</v>
      </c>
    </row>
    <row r="47" spans="2:26" ht="16.5" thickTop="1" thickBot="1">
      <c r="B47" s="55" t="str">
        <f>L69</f>
        <v>Onderhoud</v>
      </c>
      <c r="C47" s="42">
        <f>O69</f>
        <v>205</v>
      </c>
      <c r="D47" s="56" t="s">
        <v>88</v>
      </c>
      <c r="F47" s="114" t="str">
        <v>Grondverzet - prijs per uur</v>
      </c>
      <c r="G47" s="49" t="s">
        <v>79</v>
      </c>
      <c r="H47" s="45"/>
      <c r="I47" s="108" cm="1">
        <f t="array" ref="I47">IF(ISBLANK(H47),INDEX(CultInvest01[[#All],[Geen]:[Waarde MIN]],_xlfn.XMATCH('Kleine lisdodde'!F47,CultInvest01[[#All],[Teelt - Investeringen perceel]]),_xlfn.XMATCH('Kleine lisdodde'!G47,CultInvest01[[#Headers],[Geen]:[Waarde MIN]])),H47)</f>
        <v>95</v>
      </c>
      <c r="J47" s="109" t="s">
        <v>117</v>
      </c>
      <c r="L47" s="55" t="str">
        <v>Ongediertebestrijding</v>
      </c>
      <c r="M47" s="42">
        <f>O45*O46</f>
        <v>125</v>
      </c>
      <c r="N47" s="45"/>
      <c r="O47" s="107">
        <f>IF(ISBLANK(N47),M47,N47)</f>
        <v>125</v>
      </c>
      <c r="P47" s="56" t="s">
        <v>88</v>
      </c>
    </row>
    <row r="48" spans="2:26" ht="16.5" thickTop="1" thickBot="1">
      <c r="B48" s="219" t="str">
        <f>L78</f>
        <v>Afschrijving &amp; aflossing teeltinvesteringen</v>
      </c>
      <c r="C48" s="40">
        <f>O78</f>
        <v>1099.7472130595245</v>
      </c>
      <c r="D48" s="220" t="s">
        <v>88</v>
      </c>
      <c r="F48" s="55" t="str">
        <v>Grondverzet - totaal</v>
      </c>
      <c r="G48" s="42">
        <f>I46*I47</f>
        <v>3800</v>
      </c>
      <c r="H48" s="45"/>
      <c r="I48" s="107">
        <f>IF(ISBLANK(H48),G48,H48)</f>
        <v>3800</v>
      </c>
      <c r="J48" s="56" t="s">
        <v>88</v>
      </c>
      <c r="L48" s="114" t="str">
        <v>Dijkbeheer &amp; slootonderhoud - uren</v>
      </c>
      <c r="M48" s="49" t="s">
        <v>79</v>
      </c>
      <c r="N48" s="45"/>
      <c r="O48" s="169" cm="1">
        <f t="array" ref="O48">IF(ISBLANK(N48),INDEX(CultCost01[[#All],[Geen]:[Waarde MIN]],_xlfn.XMATCH('Kleine lisdodde'!L48,CultCost01[[#All],[Gewasverzorging]]),_xlfn.XMATCH('Kleine lisdodde'!M48,CultCost01[[#Headers],[Geen]:[Waarde MIN]])),N48)</f>
        <v>2.2000000000000002</v>
      </c>
      <c r="P48" s="116" t="s">
        <v>116</v>
      </c>
    </row>
    <row r="49" spans="2:16" ht="16.5" thickTop="1" thickBot="1">
      <c r="B49" s="76" t="s">
        <v>118</v>
      </c>
      <c r="C49" s="46">
        <f>SUM(C43:C48)</f>
        <v>2525.7472130595243</v>
      </c>
      <c r="D49" s="111" t="s">
        <v>88</v>
      </c>
      <c r="F49" s="114" t="str">
        <v>Grondtoevoer - kuub per hectare</v>
      </c>
      <c r="G49" s="49" t="s">
        <v>79</v>
      </c>
      <c r="H49" s="45"/>
      <c r="I49" s="108" cm="1">
        <f t="array" ref="I49">IF(ISBLANK(H49),INDEX(CultInvest01[[#All],[Geen]:[Waarde MIN]],_xlfn.XMATCH('Kleine lisdodde'!F49,CultInvest01[[#All],[Teelt - Investeringen perceel]]),_xlfn.XMATCH('Kleine lisdodde'!G49,CultInvest01[[#Headers],[Geen]:[Waarde MIN]])),H49)</f>
        <v>400</v>
      </c>
      <c r="J49" s="112" t="s">
        <v>119</v>
      </c>
      <c r="L49" s="114" t="str">
        <v>Dijkbeheer &amp; slootonderhoud - tarief</v>
      </c>
      <c r="M49" s="49" t="s">
        <v>79</v>
      </c>
      <c r="N49" s="45"/>
      <c r="O49" s="115" cm="1">
        <f t="array" ref="O49">IF(ISBLANK(N49),INDEX(CultCost01[[#All],[Geen]:[Waarde MIN]],_xlfn.XMATCH('Kleine lisdodde'!L49,CultCost01[[#All],[Gewasverzorging]]),_xlfn.XMATCH('Kleine lisdodde'!M49,CultCost01[[#Headers],[Geen]:[Waarde MIN]])),N49)</f>
        <v>25</v>
      </c>
      <c r="P49" s="116" t="s">
        <v>117</v>
      </c>
    </row>
    <row r="50" spans="2:16" ht="16.5" thickTop="1" thickBot="1">
      <c r="B50" s="55"/>
      <c r="C50" s="103"/>
      <c r="D50" s="56"/>
      <c r="F50" s="114" t="str">
        <v>Grondtoevoer - prijs per kuub</v>
      </c>
      <c r="G50" s="49" t="s">
        <v>79</v>
      </c>
      <c r="H50" s="45"/>
      <c r="I50" s="108" cm="1">
        <f t="array" ref="I50">IF(ISBLANK(H50),INDEX(CultInvest01[[#All],[Geen]:[Waarde MIN]],_xlfn.XMATCH('Kleine lisdodde'!F50,CultInvest01[[#All],[Teelt - Investeringen perceel]]),_xlfn.XMATCH('Kleine lisdodde'!G50,CultInvest01[[#Headers],[Geen]:[Waarde MIN]])),H50)</f>
        <v>3</v>
      </c>
      <c r="J50" s="112" t="s">
        <v>120</v>
      </c>
      <c r="L50" s="55" t="str">
        <v>Dijkbeheer &amp; slootonderhoud</v>
      </c>
      <c r="M50" s="42">
        <f>O48*O49</f>
        <v>55.000000000000007</v>
      </c>
      <c r="N50" s="45"/>
      <c r="O50" s="107">
        <f>IF(ISBLANK(N50),M50,N50)</f>
        <v>55.000000000000007</v>
      </c>
      <c r="P50" s="56" t="s">
        <v>88</v>
      </c>
    </row>
    <row r="51" spans="2:16" ht="16.5" thickTop="1" thickBot="1">
      <c r="B51" s="76" t="s">
        <v>121</v>
      </c>
      <c r="C51" s="340" t="s">
        <v>109</v>
      </c>
      <c r="D51" s="341"/>
      <c r="F51" s="55" t="str">
        <v>Grondtoevoer - totaal</v>
      </c>
      <c r="G51" s="42">
        <f>I49*I50</f>
        <v>1200</v>
      </c>
      <c r="H51" s="45"/>
      <c r="I51" s="107">
        <f>IF(ISBLANK(H51),G51,H51)</f>
        <v>1200</v>
      </c>
      <c r="J51" s="56" t="s">
        <v>88</v>
      </c>
      <c r="L51" s="114" t="str">
        <v>Gewasverzorging - uren medewerker</v>
      </c>
      <c r="M51" s="49" t="s">
        <v>79</v>
      </c>
      <c r="N51" s="45"/>
      <c r="O51" s="108" cm="1">
        <f t="array" ref="O51">IF(ISBLANK(N51),INDEX(CultCost01[[#All],[Geen]:[Waarde MIN]],_xlfn.XMATCH('Kleine lisdodde'!L51,CultCost01[[#All],[Gewasverzorging]]),_xlfn.XMATCH('Kleine lisdodde'!M51,CultCost01[[#Headers],[Geen]:[Waarde MIN]])),N51)</f>
        <v>10</v>
      </c>
      <c r="P51" s="112" t="s">
        <v>116</v>
      </c>
    </row>
    <row r="52" spans="2:16" ht="16.5" thickTop="1" thickBot="1">
      <c r="B52" s="55" t="s">
        <v>122</v>
      </c>
      <c r="C52" s="42">
        <f>I45</f>
        <v>7300</v>
      </c>
      <c r="D52" s="56" t="s">
        <v>88</v>
      </c>
      <c r="F52" s="114" t="str">
        <v>Watertoevoer - meter leiding per hectare</v>
      </c>
      <c r="G52" s="49" t="s">
        <v>79</v>
      </c>
      <c r="H52" s="45"/>
      <c r="I52" s="108" cm="1">
        <f t="array" ref="I52">IF(ISBLANK(H52),INDEX(CultInvest01[[#All],[Geen]:[Waarde MIN]],_xlfn.XMATCH('Kleine lisdodde'!F52,CultInvest01[[#All],[Teelt - Investeringen perceel]]),_xlfn.XMATCH('Kleine lisdodde'!G52,CultInvest01[[#Headers],[Geen]:[Waarde MIN]])),H52)</f>
        <v>10</v>
      </c>
      <c r="J52" s="112" t="s">
        <v>123</v>
      </c>
      <c r="L52" s="114" t="str">
        <v>Medewerker - tarief per uur</v>
      </c>
      <c r="M52" s="49" t="s">
        <v>79</v>
      </c>
      <c r="N52" s="45"/>
      <c r="O52" s="108" cm="1">
        <f t="array" ref="O52">IF(ISBLANK(N52),INDEX(CultCost01[[#All],[Geen]:[Waarde MIN]],_xlfn.XMATCH('Kleine lisdodde'!L52,CultCost01[[#All],[Gewasverzorging]]),_xlfn.XMATCH('Kleine lisdodde'!M52,CultCost01[[#Headers],[Geen]:[Waarde MIN]])),N52)</f>
        <v>25</v>
      </c>
      <c r="P52" s="112" t="s">
        <v>117</v>
      </c>
    </row>
    <row r="53" spans="2:16" ht="16.5" thickTop="1" thickBot="1">
      <c r="B53" s="77" t="s">
        <v>124</v>
      </c>
      <c r="C53" s="198">
        <f>I66</f>
        <v>4115</v>
      </c>
      <c r="D53" s="220" t="s">
        <v>88</v>
      </c>
      <c r="F53" s="114" t="str">
        <v>Watertoevoer - prijs per meter leiding</v>
      </c>
      <c r="G53" s="49" t="s">
        <v>79</v>
      </c>
      <c r="H53" s="45"/>
      <c r="I53" s="108" cm="1">
        <f t="array" ref="I53">IF(ISBLANK(H53),INDEX(CultInvest01[[#All],[Geen]:[Waarde MIN]],_xlfn.XMATCH('Kleine lisdodde'!F53,CultInvest01[[#All],[Teelt - Investeringen perceel]]),_xlfn.XMATCH('Kleine lisdodde'!G53,CultInvest01[[#Headers],[Geen]:[Waarde MIN]])),H53)</f>
        <v>10</v>
      </c>
      <c r="J53" s="112" t="s">
        <v>125</v>
      </c>
      <c r="L53" s="114" t="str">
        <v xml:space="preserve">Gewasverzorging - uren management </v>
      </c>
      <c r="M53" s="49" t="s">
        <v>79</v>
      </c>
      <c r="N53" s="45"/>
      <c r="O53" s="108" cm="1">
        <f t="array" ref="O53">IF(ISBLANK(N53),INDEX(CultCost01[[#All],[Geen]:[Waarde MIN]],_xlfn.XMATCH('Kleine lisdodde'!L53,CultCost01[[#All],[Gewasverzorging]]),_xlfn.XMATCH('Kleine lisdodde'!M53,CultCost01[[#Headers],[Geen]:[Waarde MIN]])),N53)</f>
        <v>1</v>
      </c>
      <c r="P53" s="112" t="s">
        <v>116</v>
      </c>
    </row>
    <row r="54" spans="2:16" ht="16.5" thickTop="1" thickBot="1">
      <c r="B54" s="78" t="s">
        <v>118</v>
      </c>
      <c r="C54" s="147">
        <f>SUM(C52:C53)</f>
        <v>11415</v>
      </c>
      <c r="D54" s="148" t="s">
        <v>88</v>
      </c>
      <c r="F54" s="125" t="str">
        <v>Watertoevoer - totaal</v>
      </c>
      <c r="G54" s="42">
        <f>I52*I53</f>
        <v>100</v>
      </c>
      <c r="H54" s="45"/>
      <c r="I54" s="107">
        <f>IF(ISBLANK(H54),G54,H54)</f>
        <v>100</v>
      </c>
      <c r="J54" s="56" t="s">
        <v>88</v>
      </c>
      <c r="L54" s="114" t="str">
        <v>Manager - tarief per uur</v>
      </c>
      <c r="M54" s="49" t="s">
        <v>114</v>
      </c>
      <c r="N54" s="45"/>
      <c r="O54" s="108" cm="1">
        <f t="array" ref="O54">IF(ISBLANK(N54),INDEX(CultCost01[[#All],[Geen]:[Waarde MIN]],_xlfn.XMATCH('Kleine lisdodde'!L54,CultCost01[[#All],[Gewasverzorging]]),_xlfn.XMATCH('Kleine lisdodde'!M54,CultCost01[[#Headers],[Geen]:[Waarde MIN]])),N54)</f>
        <v>0</v>
      </c>
      <c r="P54" s="112" t="s">
        <v>117</v>
      </c>
    </row>
    <row r="55" spans="2:16" ht="16.5" thickTop="1" thickBot="1">
      <c r="F55" s="114" t="str">
        <v>Waterafvoer - meter leiding per hectare</v>
      </c>
      <c r="G55" s="49" t="s">
        <v>79</v>
      </c>
      <c r="H55" s="45"/>
      <c r="I55" s="108" cm="1">
        <f t="array" ref="I55">IF(ISBLANK(H55),INDEX(CultInvest01[[#All],[Geen]:[Waarde MIN]],_xlfn.XMATCH('Kleine lisdodde'!F55,CultInvest01[[#All],[Teelt - Investeringen perceel]]),_xlfn.XMATCH('Kleine lisdodde'!G55,CultInvest01[[#Headers],[Geen]:[Waarde MIN]])),H55)</f>
        <v>10</v>
      </c>
      <c r="J55" s="112" t="s">
        <v>123</v>
      </c>
      <c r="L55" s="55" t="str">
        <v>Gewasverzorging - eigen arbeidsuren</v>
      </c>
      <c r="M55" s="42">
        <f>SUM(O51*O52,O53*O54)</f>
        <v>250</v>
      </c>
      <c r="N55" s="45"/>
      <c r="O55" s="107">
        <f>IF(ISBLANK(N55),M55,N55)</f>
        <v>250</v>
      </c>
      <c r="P55" s="56" t="s">
        <v>88</v>
      </c>
    </row>
    <row r="56" spans="2:16" ht="16.5" thickTop="1" thickBot="1">
      <c r="F56" s="114" t="str">
        <v>Waterafvoer - prijs per meter leiding</v>
      </c>
      <c r="G56" s="49" t="s">
        <v>79</v>
      </c>
      <c r="H56" s="45"/>
      <c r="I56" s="108" cm="1">
        <f t="array" ref="I56">IF(ISBLANK(H56),INDEX(CultInvest01[[#All],[Geen]:[Waarde MIN]],_xlfn.XMATCH('Kleine lisdodde'!F56,CultInvest01[[#All],[Teelt - Investeringen perceel]]),_xlfn.XMATCH('Kleine lisdodde'!G56,CultInvest01[[#Headers],[Geen]:[Waarde MIN]])),H56)</f>
        <v>10</v>
      </c>
      <c r="J56" s="112" t="s">
        <v>125</v>
      </c>
      <c r="L56" s="114" t="str">
        <v>Gewasverzorging - uren inhuur derden</v>
      </c>
      <c r="M56" s="49" t="s">
        <v>114</v>
      </c>
      <c r="N56" s="45"/>
      <c r="O56" s="108" cm="1">
        <f t="array" ref="O56">IF(ISBLANK(N56),INDEX(CultCost01[[#All],[Geen]:[Waarde MIN]],_xlfn.XMATCH('Kleine lisdodde'!L56,CultCost01[[#All],[Gewasverzorging]]),_xlfn.XMATCH('Kleine lisdodde'!M56,CultCost01[[#Headers],[Geen]:[Waarde MIN]])),N56)</f>
        <v>0</v>
      </c>
      <c r="P56" s="112" t="s">
        <v>116</v>
      </c>
    </row>
    <row r="57" spans="2:16" ht="16.5" thickTop="1" thickBot="1">
      <c r="F57" s="55" t="str">
        <v>Waterafvoer - totaal</v>
      </c>
      <c r="G57" s="42">
        <f>I55*I56</f>
        <v>100</v>
      </c>
      <c r="H57" s="45"/>
      <c r="I57" s="107">
        <f>IF(ISBLANK(H57),G57,H57)</f>
        <v>100</v>
      </c>
      <c r="J57" s="56" t="s">
        <v>88</v>
      </c>
      <c r="L57" s="114" t="str">
        <v>Gewasverzorging - tarief inhuur derden</v>
      </c>
      <c r="M57" s="49" t="s">
        <v>114</v>
      </c>
      <c r="N57" s="45"/>
      <c r="O57" s="108" cm="1">
        <f t="array" ref="O57">IF(ISBLANK(N57),INDEX(CultCost01[[#All],[Geen]:[Waarde MIN]],_xlfn.XMATCH('Kleine lisdodde'!L57,CultCost01[[#All],[Gewasverzorging]]),_xlfn.XMATCH('Kleine lisdodde'!M57,CultCost01[[#Headers],[Geen]:[Waarde MIN]])),N57)</f>
        <v>0</v>
      </c>
      <c r="P57" s="112" t="s">
        <v>117</v>
      </c>
    </row>
    <row r="58" spans="2:16" ht="16.5" thickTop="1" thickBot="1">
      <c r="F58" s="55" t="str">
        <v>Pompen - aanschaf incl. stroomvoorziening</v>
      </c>
      <c r="G58" s="49" t="s">
        <v>79</v>
      </c>
      <c r="H58" s="45"/>
      <c r="I58" s="107" cm="1">
        <f t="array" ref="I58">IF(ISBLANK(H58),INDEX(CultInvest01[[#All],[Geen]:[Waarde MIN]],_xlfn.XMATCH('Kleine lisdodde'!F58,CultInvest01[[#All],[Teelt - Investeringen perceel]]),_xlfn.XMATCH('Kleine lisdodde'!G58,CultInvest01[[#Headers],[Geen]:[Waarde MIN]])),H58)</f>
        <v>1700</v>
      </c>
      <c r="J58" s="56" t="s">
        <v>88</v>
      </c>
      <c r="L58" s="55" t="str">
        <v>Gewasverzorging - inhuur derden</v>
      </c>
      <c r="M58" s="103">
        <f>O56*O57</f>
        <v>0</v>
      </c>
      <c r="N58" s="45"/>
      <c r="O58" s="107">
        <f>IF(ISBLANK(N58),M58,N58)</f>
        <v>0</v>
      </c>
      <c r="P58" s="56" t="s">
        <v>88</v>
      </c>
    </row>
    <row r="59" spans="2:16" ht="16.5" thickTop="1" thickBot="1">
      <c r="F59" s="55" t="str">
        <v>Waterpeilbeheersing (schuiven, slibkisten, etc.)</v>
      </c>
      <c r="G59" s="49" t="s">
        <v>114</v>
      </c>
      <c r="H59" s="45"/>
      <c r="I59" s="107" cm="1">
        <f t="array" ref="I59">IF(ISBLANK(H59),INDEX(CultInvest01[[#All],[Geen]:[Waarde MIN]],_xlfn.XMATCH('Kleine lisdodde'!F59,CultInvest01[[#All],[Teelt - Investeringen perceel]]),_xlfn.XMATCH('Kleine lisdodde'!G59,CultInvest01[[#Headers],[Geen]:[Waarde MIN]])),H59)</f>
        <v>0</v>
      </c>
      <c r="J59" s="56" t="s">
        <v>88</v>
      </c>
      <c r="L59" s="55"/>
      <c r="M59" s="103"/>
      <c r="N59" s="103"/>
      <c r="O59" s="103"/>
      <c r="P59" s="56"/>
    </row>
    <row r="60" spans="2:16" ht="16.5" thickTop="1" thickBot="1">
      <c r="F60" s="55" t="str">
        <v>Afrastering &amp; vraatbescherming</v>
      </c>
      <c r="G60" s="49" t="s">
        <v>126</v>
      </c>
      <c r="H60" s="45"/>
      <c r="I60" s="107" cm="1">
        <f t="array" ref="I60">IF(ISBLANK(H60),INDEX(CultInvest01[[#All],[Geen]:[Waarde MIN]],_xlfn.XMATCH('Kleine lisdodde'!F60,CultInvest01[[#All],[Teelt - Investeringen perceel]]),_xlfn.XMATCH('Kleine lisdodde'!G60,CultInvest01[[#Headers],[Geen]:[Waarde MIN]])),H60)</f>
        <v>250</v>
      </c>
      <c r="J60" s="56" t="s">
        <v>88</v>
      </c>
      <c r="L60" s="76" t="str" cm="1">
        <f t="array" ref="L60:L63">CultCost02[[#All],[Energieverbruik en water]]</f>
        <v>Energieverbruik en water</v>
      </c>
      <c r="M60" s="63" t="s">
        <v>112</v>
      </c>
      <c r="N60" s="64" t="s">
        <v>111</v>
      </c>
      <c r="O60" s="46">
        <f>SUM(O61:O63)</f>
        <v>100</v>
      </c>
      <c r="P60" s="111" t="s">
        <v>88</v>
      </c>
    </row>
    <row r="61" spans="2:16" ht="16.5" thickTop="1" thickBot="1">
      <c r="F61" s="55" t="str">
        <v>Overige kosten (bijv. folie)</v>
      </c>
      <c r="G61" s="49" t="s">
        <v>114</v>
      </c>
      <c r="H61" s="45"/>
      <c r="I61" s="107" cm="1">
        <f t="array" ref="I61">IF(ISBLANK(H61),INDEX(CultInvest01[[#All],[Geen]:[Waarde MIN]],_xlfn.XMATCH('Kleine lisdodde'!F61,CultInvest01[[#All],[Teelt - Investeringen perceel]]),_xlfn.XMATCH('Kleine lisdodde'!G61,CultInvest01[[#Headers],[Geen]:[Waarde MIN]])),H61)</f>
        <v>0</v>
      </c>
      <c r="J61" s="56" t="s">
        <v>88</v>
      </c>
      <c r="L61" s="55" t="str">
        <v>Elektraverbruik irrigatie en peilbeheer</v>
      </c>
      <c r="M61" s="49" t="s">
        <v>79</v>
      </c>
      <c r="N61" s="45"/>
      <c r="O61" s="107" cm="1">
        <f t="array" ref="O61">IF(ISBLANK(N61),INDEX(CultCost02[[#All],[Geen]:[Waarde MIN]],_xlfn.XMATCH('Kleine lisdodde'!L61,CultCost02[[#All],[Energieverbruik en water]]),_xlfn.XMATCH('Kleine lisdodde'!M61,CultCost02[[#Headers],[Geen]:[Waarde MIN]])),N61)</f>
        <v>25</v>
      </c>
      <c r="P61" s="56" t="s">
        <v>88</v>
      </c>
    </row>
    <row r="62" spans="2:16" ht="16.5" thickTop="1" thickBot="1">
      <c r="F62" s="55" t="str">
        <v>Vergunningsaanvraag</v>
      </c>
      <c r="G62" s="49" t="s">
        <v>79</v>
      </c>
      <c r="H62" s="45"/>
      <c r="I62" s="107" cm="1">
        <f t="array" ref="I62">IF(ISBLANK(H62),INDEX(CultInvest01[[#All],[Geen]:[Waarde MIN]],_xlfn.XMATCH('Kleine lisdodde'!F62,CultInvest01[[#All],[Teelt - Investeringen perceel]]),_xlfn.XMATCH('Kleine lisdodde'!G62,CultInvest01[[#Headers],[Geen]:[Waarde MIN]])),H62)</f>
        <v>150</v>
      </c>
      <c r="J62" s="56" t="s">
        <v>88</v>
      </c>
      <c r="L62" s="55" t="str">
        <v xml:space="preserve">Elektraverbruik overig </v>
      </c>
      <c r="M62" s="49" t="s">
        <v>79</v>
      </c>
      <c r="N62" s="45"/>
      <c r="O62" s="107" cm="1">
        <f t="array" ref="O62">IF(ISBLANK(N62),INDEX(CultCost02[[#All],[Geen]:[Waarde MIN]],_xlfn.XMATCH('Kleine lisdodde'!L62,CultCost02[[#All],[Energieverbruik en water]]),_xlfn.XMATCH('Kleine lisdodde'!M62,CultCost02[[#Headers],[Geen]:[Waarde MIN]])),N62)</f>
        <v>25</v>
      </c>
      <c r="P62" s="56" t="s">
        <v>88</v>
      </c>
    </row>
    <row r="63" spans="2:16" ht="16.5" thickTop="1" thickBot="1">
      <c r="F63" s="55"/>
      <c r="G63" s="43"/>
      <c r="H63" s="107"/>
      <c r="I63" s="107"/>
      <c r="J63" s="56"/>
      <c r="L63" s="55" t="str">
        <v>Heffingen waterverbruik</v>
      </c>
      <c r="M63" s="49" t="s">
        <v>79</v>
      </c>
      <c r="N63" s="45"/>
      <c r="O63" s="107" cm="1">
        <f t="array" ref="O63">IF(ISBLANK(N63),INDEX(CultCost02[[#All],[Geen]:[Waarde MIN]],_xlfn.XMATCH('Kleine lisdodde'!L63,CultCost02[[#All],[Energieverbruik en water]]),_xlfn.XMATCH('Kleine lisdodde'!M63,CultCost02[[#Headers],[Geen]:[Waarde MIN]])),N63)</f>
        <v>50</v>
      </c>
      <c r="P63" s="56" t="s">
        <v>88</v>
      </c>
    </row>
    <row r="64" spans="2:16" ht="16.5" thickTop="1" thickBot="1">
      <c r="F64" s="76" t="s">
        <v>127</v>
      </c>
      <c r="G64" s="43"/>
      <c r="H64" s="107"/>
      <c r="I64" s="107"/>
      <c r="J64" s="56"/>
      <c r="L64" s="55"/>
      <c r="M64" s="103"/>
      <c r="N64" s="103"/>
      <c r="O64" s="103"/>
      <c r="P64" s="56"/>
    </row>
    <row r="65" spans="6:16" ht="16.5" thickTop="1" thickBot="1">
      <c r="F65" s="49" t="s">
        <v>208</v>
      </c>
      <c r="G65" s="43"/>
      <c r="H65" s="107"/>
      <c r="I65" s="107"/>
      <c r="J65" s="56"/>
      <c r="L65" s="76" t="str" cm="1">
        <f t="array" ref="L65:L67">CultCost03[[#All],[Belastingen en verzekeringen]]</f>
        <v>Belastingen en verzekeringen</v>
      </c>
      <c r="M65" s="63" t="s">
        <v>112</v>
      </c>
      <c r="N65" s="64" t="s">
        <v>111</v>
      </c>
      <c r="O65" s="79">
        <f>SUM(O66:O67)</f>
        <v>175</v>
      </c>
      <c r="P65" s="111" t="s">
        <v>88</v>
      </c>
    </row>
    <row r="66" spans="6:16" ht="16.5" thickTop="1" thickBot="1">
      <c r="F66" s="76" t="s">
        <v>128</v>
      </c>
      <c r="G66" s="63" t="s">
        <v>112</v>
      </c>
      <c r="H66" s="64" t="s">
        <v>111</v>
      </c>
      <c r="I66" s="41">
        <f>IF(F67='DATA - Variabelen &amp; waarden'!B42,SUM('Kleine lisdodde'!I69,'Kleine lisdodde'!I70,'Kleine lisdodde'!I71,'Kleine lisdodde'!I74,'Kleine lisdodde'!I79),SUM('Kleine lisdodde'!I69,'Kleine lisdodde'!I70,'Kleine lisdodde'!I75,'Kleine lisdodde'!I77))</f>
        <v>4115</v>
      </c>
      <c r="J66" s="111" t="s">
        <v>88</v>
      </c>
      <c r="L66" s="55" t="str">
        <v>Waterschapsbelasting</v>
      </c>
      <c r="M66" s="49" t="s">
        <v>129</v>
      </c>
      <c r="N66" s="45"/>
      <c r="O66" s="119" cm="1">
        <f t="array" ref="O66">IF(ISBLANK(N66),INDEX(CultCost03[[#All],[Geen]:[Waarde MIN]],_xlfn.XMATCH('Kleine lisdodde'!L66,CultCost03[[#All],[Belastingen en verzekeringen]]),_xlfn.XMATCH('Kleine lisdodde'!M66,CultCost03[[#Headers],[Geen]:[Waarde MIN]])),N66)</f>
        <v>100</v>
      </c>
      <c r="P66" s="56" t="s">
        <v>88</v>
      </c>
    </row>
    <row r="67" spans="6:16" ht="16.5" thickTop="1" thickBot="1">
      <c r="F67" s="49" t="s">
        <v>130</v>
      </c>
      <c r="G67" s="43"/>
      <c r="H67" s="107"/>
      <c r="I67" s="107"/>
      <c r="J67" s="56"/>
      <c r="L67" s="55" t="str">
        <v>Verzekeringen</v>
      </c>
      <c r="M67" s="49" t="s">
        <v>79</v>
      </c>
      <c r="N67" s="45"/>
      <c r="O67" s="103" cm="1">
        <f t="array" ref="O67">IF(ISBLANK(N67),INDEX(CultCost03[[#All],[Geen]:[Waarde MIN]],_xlfn.XMATCH('Kleine lisdodde'!L67,CultCost03[[#All],[Belastingen en verzekeringen]]),_xlfn.XMATCH('Kleine lisdodde'!M67,CultCost03[[#Headers],[Geen]:[Waarde MIN]])),N67)</f>
        <v>75</v>
      </c>
      <c r="P67" s="56" t="s">
        <v>88</v>
      </c>
    </row>
    <row r="68" spans="6:16" ht="16.5" thickTop="1" thickBot="1">
      <c r="F68" s="76" t="s">
        <v>131</v>
      </c>
      <c r="G68" s="43"/>
      <c r="H68" s="107"/>
      <c r="I68" s="107"/>
      <c r="J68" s="56"/>
      <c r="L68" s="55"/>
      <c r="M68" s="103"/>
      <c r="N68" s="103"/>
      <c r="O68" s="103"/>
      <c r="P68" s="56"/>
    </row>
    <row r="69" spans="6:16" ht="16.5" thickTop="1" thickBot="1">
      <c r="F69" s="55" t="str" cm="1">
        <f t="array" ref="F69:F75">CultInvest02[Planten / Zaaien - Algemene kosten]</f>
        <v>Klaarmaken grond - grondbewerking</v>
      </c>
      <c r="G69" s="49" t="s">
        <v>126</v>
      </c>
      <c r="H69" s="45"/>
      <c r="I69" s="107" cm="1">
        <f t="array" ref="I69">IF(ISBLANK(H69),INDEX(CultInvest02[[#Headers],[#Data],[Geen]:[Waarde MIN]],_xlfn.XMATCH('Kleine lisdodde'!F69,CultInvest02[[#Headers],[#Data],[Planten / Zaaien - Algemene kosten]]),_xlfn.XMATCH('Kleine lisdodde'!G69,CultInvest02[[#Headers],[Geen]:[Waarde MIN]])),H69)</f>
        <v>65</v>
      </c>
      <c r="J69" s="56" t="s">
        <v>88</v>
      </c>
      <c r="L69" s="76" t="str" cm="1">
        <f t="array" ref="L69:L76">CultCost04[[#All],[Onderhoud]]</f>
        <v>Onderhoud</v>
      </c>
      <c r="M69" s="63" t="s">
        <v>112</v>
      </c>
      <c r="N69" s="64" t="s">
        <v>111</v>
      </c>
      <c r="O69" s="46">
        <f>SUM(O70:O76)</f>
        <v>205</v>
      </c>
      <c r="P69" s="111" t="s">
        <v>88</v>
      </c>
    </row>
    <row r="70" spans="6:16" ht="16.5" thickTop="1" thickBot="1">
      <c r="F70" s="55" t="str">
        <v>Klaarmaken grond - bodemverbeteraars/bemesting</v>
      </c>
      <c r="G70" s="49" t="s">
        <v>126</v>
      </c>
      <c r="H70" s="45"/>
      <c r="I70" s="107" cm="1">
        <f t="array" ref="I70">IF(ISBLANK(H70),INDEX(CultInvest02[[#Headers],[#Data],[Geen]:[Waarde MIN]],_xlfn.XMATCH('Kleine lisdodde'!F70,CultInvest02[[#Headers],[#Data],[Planten / Zaaien - Algemene kosten]]),_xlfn.XMATCH('Kleine lisdodde'!G70,CultInvest02[[#Headers],[Geen]:[Waarde MIN]])),H70)</f>
        <v>100</v>
      </c>
      <c r="J70" s="56" t="s">
        <v>88</v>
      </c>
      <c r="L70" s="55" t="str">
        <v>Grondverzet - totaal</v>
      </c>
      <c r="M70" s="49" t="s">
        <v>114</v>
      </c>
      <c r="N70" s="45"/>
      <c r="O70" s="43" cm="1">
        <f t="array" ref="O70">IF(ISBLANK(N70),(SUM(I48,I51)*INDEX(CultCost04[[#All],[Geen]:[Waarde MIN]],_xlfn.XMATCH('Kleine lisdodde'!L70,CultCost04[[#All],[Onderhoud]]),_xlfn.XMATCH('Kleine lisdodde'!M70,CultCost04[[#Headers],[Geen]:[Waarde MIN]]))),N70)</f>
        <v>0</v>
      </c>
      <c r="P70" s="56" t="s">
        <v>88</v>
      </c>
    </row>
    <row r="71" spans="6:16" ht="16.5" thickTop="1" thickBot="1">
      <c r="F71" s="55" t="str">
        <v>Plantkosten - machine</v>
      </c>
      <c r="G71" s="49" t="s">
        <v>79</v>
      </c>
      <c r="H71" s="45"/>
      <c r="I71" s="107" cm="1">
        <f t="array" ref="I71">IF(ISBLANK(H71),INDEX(CultInvest02[[#Headers],[#Data],[Geen]:[Waarde MIN]],_xlfn.XMATCH('Kleine lisdodde'!F71,CultInvest02[[#Headers],[#Data],[Planten / Zaaien - Algemene kosten]]),_xlfn.XMATCH('Kleine lisdodde'!G71,CultInvest02[[#Headers],[Geen]:[Waarde MIN]])),H71)</f>
        <v>450</v>
      </c>
      <c r="J71" s="56" t="s">
        <v>88</v>
      </c>
      <c r="L71" s="55" t="str">
        <v>Watertoevoer - totaal</v>
      </c>
      <c r="M71" s="49" t="s">
        <v>79</v>
      </c>
      <c r="N71" s="45"/>
      <c r="O71" s="42" cm="1">
        <f t="array" ref="O71">IF(ISBLANK(N71),(I54*INDEX(CultCost04[[#All],[Geen]:[Waarde MIN]],_xlfn.XMATCH('Kleine lisdodde'!L71,CultCost04[[#All],[Onderhoud]]),_xlfn.XMATCH('Kleine lisdodde'!M71,CultCost04[[#Headers],[Geen]:[Waarde MIN]]))),N71)</f>
        <v>5</v>
      </c>
      <c r="P71" s="56" t="s">
        <v>88</v>
      </c>
    </row>
    <row r="72" spans="6:16" ht="16.5" thickTop="1" thickBot="1">
      <c r="F72" s="114" t="str">
        <v>Plantkosten - uren per hectare</v>
      </c>
      <c r="G72" s="49" t="s">
        <v>126</v>
      </c>
      <c r="H72" s="45"/>
      <c r="I72" s="108" cm="1">
        <f t="array" ref="I72">IF(ISBLANK(H72),INDEX(CultInvest02[[#Headers],[#Data],[Geen]:[Waarde MIN]],_xlfn.XMATCH('Kleine lisdodde'!F72,CultInvest02[[#Headers],[#Data],[Planten / Zaaien - Algemene kosten]]),_xlfn.XMATCH('Kleine lisdodde'!G72,CultInvest02[[#Headers],[Geen]:[Waarde MIN]])),H72)</f>
        <v>20</v>
      </c>
      <c r="J72" s="112" t="s">
        <v>132</v>
      </c>
      <c r="L72" s="55" t="str">
        <v>Waterafvoer - totaal</v>
      </c>
      <c r="M72" s="49" t="s">
        <v>79</v>
      </c>
      <c r="N72" s="45"/>
      <c r="O72" s="42" cm="1">
        <f t="array" ref="O72">IF(ISBLANK(N72),(I57*INDEX(CultCost04[[#All],[Geen]:[Waarde MIN]],_xlfn.XMATCH('Kleine lisdodde'!L72,CultCost04[[#All],[Onderhoud]]),_xlfn.XMATCH('Kleine lisdodde'!M72,CultCost04[[#Headers],[Geen]:[Waarde MIN]]))),N72)</f>
        <v>5</v>
      </c>
      <c r="P72" s="56" t="s">
        <v>88</v>
      </c>
    </row>
    <row r="73" spans="6:16" ht="16.5" thickTop="1" thickBot="1">
      <c r="F73" s="114" t="str">
        <v>Plantkosten - prijs per uur</v>
      </c>
      <c r="G73" s="49" t="s">
        <v>79</v>
      </c>
      <c r="H73" s="45"/>
      <c r="I73" s="108" cm="1">
        <f t="array" ref="I73">IF(ISBLANK(H73),INDEX(CultInvest02[[#Headers],[#Data],[Geen]:[Waarde MIN]],_xlfn.XMATCH('Kleine lisdodde'!F73,CultInvest02[[#Headers],[#Data],[Planten / Zaaien - Algemene kosten]]),_xlfn.XMATCH('Kleine lisdodde'!G73,CultInvest02[[#Headers],[Geen]:[Waarde MIN]])),H73)</f>
        <v>25</v>
      </c>
      <c r="J73" s="112" t="s">
        <v>117</v>
      </c>
      <c r="L73" s="55" t="str">
        <v>Pompen - aanschaf incl. stroomvoorziening</v>
      </c>
      <c r="M73" s="49" t="s">
        <v>79</v>
      </c>
      <c r="N73" s="45"/>
      <c r="O73" s="42" cm="1">
        <f t="array" ref="O73">IF(ISBLANK(N73),(I58*INDEX(CultCost04[[#All],[Geen]:[Waarde MIN]],_xlfn.XMATCH('Kleine lisdodde'!L73,CultCost04[[#All],[Onderhoud]]),_xlfn.XMATCH('Kleine lisdodde'!M73,CultCost04[[#Headers],[Geen]:[Waarde MIN]]))),N73)</f>
        <v>170</v>
      </c>
      <c r="P73" s="56" t="s">
        <v>88</v>
      </c>
    </row>
    <row r="74" spans="6:16" ht="16.5" thickTop="1" thickBot="1">
      <c r="F74" s="55" t="str">
        <v>Plantkosten - arbeid totaal</v>
      </c>
      <c r="G74" s="43">
        <f>I72*I73</f>
        <v>500</v>
      </c>
      <c r="H74" s="45"/>
      <c r="I74" s="107">
        <f>IF(ISBLANK(H74),G74,H74)</f>
        <v>500</v>
      </c>
      <c r="J74" s="56" t="s">
        <v>88</v>
      </c>
      <c r="L74" s="55" t="str">
        <v>Waterpeilbeheersing (schuiven, slibkisten, etc.)</v>
      </c>
      <c r="M74" s="49" t="s">
        <v>79</v>
      </c>
      <c r="N74" s="45"/>
      <c r="O74" s="42" cm="1">
        <f t="array" ref="O74">IF(ISBLANK(N74),(I59*INDEX(CultCost04[[#All],[Geen]:[Waarde MIN]],_xlfn.XMATCH('Kleine lisdodde'!L74,CultCost04[[#All],[Onderhoud]]),_xlfn.XMATCH('Kleine lisdodde'!M74,CultCost04[[#Headers],[Geen]:[Waarde MIN]]))),N74)</f>
        <v>0</v>
      </c>
      <c r="P74" s="56" t="s">
        <v>88</v>
      </c>
    </row>
    <row r="75" spans="6:16" ht="16.5" thickTop="1" thickBot="1">
      <c r="F75" s="55" t="str">
        <v>Zaaikosten - machine + arbeid</v>
      </c>
      <c r="G75" s="49" t="s">
        <v>129</v>
      </c>
      <c r="H75" s="45"/>
      <c r="I75" s="107" cm="1">
        <f t="array" ref="I75">IF(ISBLANK(H75),INDEX(CultInvest02[[#Headers],[#Data],[Geen]:[Waarde MIN]],_xlfn.XMATCH('Kleine lisdodde'!F75,CultInvest02[[#Headers],[#Data],[Planten / Zaaien - Algemene kosten]]),_xlfn.XMATCH('Kleine lisdodde'!G75,CultInvest02[[#Headers],[Geen]:[Waarde MIN]])),H75)</f>
        <v>166.25</v>
      </c>
      <c r="J75" s="112" t="s">
        <v>117</v>
      </c>
      <c r="L75" s="55" t="str">
        <v>Afrastering &amp; vraatbescherming</v>
      </c>
      <c r="M75" s="49" t="s">
        <v>129</v>
      </c>
      <c r="N75" s="45"/>
      <c r="O75" s="42" cm="1">
        <f t="array" ref="O75">IF(ISBLANK(N75),(I60*INDEX(CultCost04[[#All],[Geen]:[Waarde MIN]],_xlfn.XMATCH('Kleine lisdodde'!L75,CultCost04[[#All],[Onderhoud]]),_xlfn.XMATCH('Kleine lisdodde'!M75,CultCost04[[#Headers],[Geen]:[Waarde MIN]]))),N75)</f>
        <v>25</v>
      </c>
      <c r="P75" s="56" t="s">
        <v>88</v>
      </c>
    </row>
    <row r="76" spans="6:16" ht="16.5" thickTop="1" thickBot="1">
      <c r="F76" s="76" t="s">
        <v>133</v>
      </c>
      <c r="G76" s="43"/>
      <c r="H76" s="107"/>
      <c r="I76" s="107"/>
      <c r="J76" s="56"/>
      <c r="L76" s="55" t="str">
        <v>Overige kosten (bijv. folie)</v>
      </c>
      <c r="M76" s="49" t="s">
        <v>79</v>
      </c>
      <c r="N76" s="45"/>
      <c r="O76" s="42" cm="1">
        <f t="array" ref="O76">IF(ISBLANK(N76),(I61*INDEX(CultCost04[[#All],[Geen]:[Waarde MIN]],_xlfn.XMATCH('Kleine lisdodde'!L76,CultCost04[[#All],[Onderhoud]]),_xlfn.XMATCH('Kleine lisdodde'!M76,CultCost04[[#Headers],[Geen]:[Waarde MIN]]))),N76)</f>
        <v>0</v>
      </c>
      <c r="P76" s="56" t="s">
        <v>88</v>
      </c>
    </row>
    <row r="77" spans="6:16" ht="16.5" thickTop="1" thickBot="1">
      <c r="F77" s="76"/>
      <c r="G77" s="49" t="s">
        <v>79</v>
      </c>
      <c r="H77" s="45"/>
      <c r="I77" s="107" cm="1">
        <f t="array" ref="I77">IF(ISBLANK(H77),INDEX(Zaaigoed[[Geen]:[Waarde MIN]],_xlfn.XMATCH('Kleine lisdodde'!F65,Zaaigoed[Zaaigoed]),_xlfn.XMATCH('Kleine lisdodde'!G77,Zaaigoed[[#Headers],[Geen]:[Waarde MIN]])),H77)</f>
        <v>300</v>
      </c>
      <c r="J77" s="56" t="s">
        <v>88</v>
      </c>
      <c r="L77" s="55"/>
      <c r="M77" s="103"/>
      <c r="N77" s="103"/>
      <c r="O77" s="103"/>
      <c r="P77" s="56"/>
    </row>
    <row r="78" spans="6:16" ht="16.5" thickTop="1" thickBot="1">
      <c r="F78" s="76" t="s">
        <v>134</v>
      </c>
      <c r="G78" s="43"/>
      <c r="H78" s="107"/>
      <c r="I78" s="107"/>
      <c r="J78" s="56"/>
      <c r="L78" s="76" t="str" cm="1">
        <f t="array" ref="L78:L83">CultCost05[[#All],[Afschrijving &amp; aflossing teeltinvesteringen]]</f>
        <v>Afschrijving &amp; aflossing teeltinvesteringen</v>
      </c>
      <c r="M78" s="63" t="s">
        <v>112</v>
      </c>
      <c r="N78" s="64" t="s">
        <v>111</v>
      </c>
      <c r="O78" s="46">
        <f>SUM(O81,O83)</f>
        <v>1099.7472130595245</v>
      </c>
      <c r="P78" s="111" t="s">
        <v>88</v>
      </c>
    </row>
    <row r="79" spans="6:16" ht="16.5" thickTop="1" thickBot="1">
      <c r="F79" s="76"/>
      <c r="G79" s="49" t="s">
        <v>126</v>
      </c>
      <c r="H79" s="45"/>
      <c r="I79" s="107" cm="1">
        <f t="array" ref="I79">IF(ISBLANK(H79),INDEX(Plantgoed[[Geen]:[Waarde MIN]],_xlfn.XMATCH('Kleine lisdodde'!F65,Plantgoed[Plantgoed]),_xlfn.XMATCH('Kleine lisdodde'!G79,Plantgoed[[#Headers],[Geen]:[Waarde MIN]])),H79)</f>
        <v>3000</v>
      </c>
      <c r="J79" s="56" t="s">
        <v>88</v>
      </c>
      <c r="L79" s="55" t="str">
        <v>Rentepercentage (wel/geen lening)</v>
      </c>
      <c r="M79" s="49" t="s">
        <v>79</v>
      </c>
      <c r="N79" s="50"/>
      <c r="O79" s="47" cm="1">
        <f t="array" ref="O79">IF(ISBLANK(N79),INDEX(CultCost05[[#All],[Geen]:[Waarde MIN]],_xlfn.XMATCH('Kleine lisdodde'!L79,CultCost05[[#All],[Afschrijving &amp; aflossing teeltinvesteringen]]),_xlfn.XMATCH('Kleine lisdodde'!M79,CultCost05[[#Headers],[Geen]:[Waarde MIN]])),N79)</f>
        <v>0.05</v>
      </c>
      <c r="P79" s="56"/>
    </row>
    <row r="80" spans="6:16" ht="16.5" thickTop="1" thickBot="1">
      <c r="F80" s="57"/>
      <c r="G80" s="104"/>
      <c r="H80" s="104"/>
      <c r="I80" s="104"/>
      <c r="J80" s="58"/>
      <c r="L80" s="55" t="str">
        <v>Afschrijvingstermijn - Investeringen perceel</v>
      </c>
      <c r="M80" s="49" t="s">
        <v>126</v>
      </c>
      <c r="N80" s="45">
        <v>15</v>
      </c>
      <c r="O80" s="43" cm="1">
        <f t="array" ref="O80">IF(ISBLANK(N80),INDEX(CultCost05[[#All],[Geen]:[Waarde MIN]],_xlfn.XMATCH('Kleine lisdodde'!L80,CultCost05[[#All],[Afschrijving &amp; aflossing teeltinvesteringen]]),_xlfn.XMATCH('Kleine lisdodde'!M80,CultCost05[[#Headers],[Geen]:[Waarde MIN]])),N80)</f>
        <v>15</v>
      </c>
      <c r="P80" s="56" t="s">
        <v>135</v>
      </c>
    </row>
    <row r="81" spans="2:26" ht="16.5" thickTop="1" thickBot="1">
      <c r="I81"/>
      <c r="L81" s="55" t="str">
        <v>Teeltinvesteringen perceel - jaarlijkse afschrijving</v>
      </c>
      <c r="M81" s="43">
        <f>-PMT(O79,O80,I45)</f>
        <v>703.29869954748392</v>
      </c>
      <c r="N81" s="45"/>
      <c r="O81" s="107">
        <f>IF(ISBLANK(N81),M81,N81)</f>
        <v>703.29869954748392</v>
      </c>
      <c r="P81" s="56" t="s">
        <v>88</v>
      </c>
    </row>
    <row r="82" spans="2:26" ht="16.5" thickTop="1" thickBot="1">
      <c r="I82"/>
      <c r="L82" s="55" t="str">
        <v>Afschrijvingstermijn - Plant/zaaikosten</v>
      </c>
      <c r="M82" s="49" t="s">
        <v>79</v>
      </c>
      <c r="N82" s="45">
        <v>15</v>
      </c>
      <c r="O82" s="43" cm="1">
        <f t="array" ref="O82">IF(ISBLANK(N82),INDEX(CultCost05[[#All],[Geen]:[Waarde MIN]],_xlfn.XMATCH('Kleine lisdodde'!L82,CultCost05[[#All],[Afschrijving &amp; aflossing teeltinvesteringen]]),_xlfn.XMATCH('Kleine lisdodde'!M82,CultCost05[[#Headers],[Geen]:[Waarde MIN]])),N82)</f>
        <v>15</v>
      </c>
      <c r="P82" s="56" t="s">
        <v>135</v>
      </c>
    </row>
    <row r="83" spans="2:26" ht="16" thickTop="1">
      <c r="I83"/>
      <c r="L83" s="55" t="str">
        <v>Plant/zaaikosten - jaarlijkse afschrijving</v>
      </c>
      <c r="M83" s="43">
        <f>-PMT(O79,O82,I66)</f>
        <v>396.44851351204056</v>
      </c>
      <c r="N83" s="45"/>
      <c r="O83" s="107">
        <f>IF(ISBLANK(N83),M83,N83)</f>
        <v>396.44851351204056</v>
      </c>
      <c r="P83" s="56" t="s">
        <v>88</v>
      </c>
    </row>
    <row r="84" spans="2:26">
      <c r="I84"/>
      <c r="L84" s="57"/>
      <c r="M84" s="104"/>
      <c r="N84" s="104"/>
      <c r="O84" s="104"/>
      <c r="P84" s="58"/>
    </row>
    <row r="85" spans="2:26">
      <c r="I85"/>
    </row>
    <row r="86" spans="2:26" s="75" customFormat="1" ht="17">
      <c r="B86" s="74" t="s">
        <v>136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8" spans="2:26" ht="16" thickBot="1">
      <c r="B88" s="61" t="s">
        <v>137</v>
      </c>
      <c r="C88" s="105"/>
      <c r="D88" s="60"/>
      <c r="F88" s="61" t="s">
        <v>138</v>
      </c>
      <c r="G88" s="54" t="str">
        <f>F65</f>
        <v>Kleine lisdodde</v>
      </c>
      <c r="H88" s="105"/>
      <c r="I88" s="80"/>
      <c r="J88" s="60"/>
      <c r="L88" s="121" t="s">
        <v>139</v>
      </c>
      <c r="M88" s="105"/>
      <c r="N88" s="105"/>
      <c r="O88" s="105"/>
      <c r="P88" s="60"/>
    </row>
    <row r="89" spans="2:26" ht="16.5" thickTop="1" thickBot="1">
      <c r="B89" s="81"/>
      <c r="C89" s="103"/>
      <c r="D89" s="56"/>
      <c r="F89" s="76"/>
      <c r="G89" s="63" t="s">
        <v>112</v>
      </c>
      <c r="H89" s="64" t="s">
        <v>111</v>
      </c>
      <c r="I89" s="43"/>
      <c r="J89" s="56"/>
      <c r="L89" s="55" t="s">
        <v>139</v>
      </c>
      <c r="M89" s="49" t="s">
        <v>140</v>
      </c>
      <c r="N89" s="103"/>
      <c r="O89" s="103"/>
      <c r="P89" s="56"/>
    </row>
    <row r="90" spans="2:26" ht="16.5" thickTop="1" thickBot="1">
      <c r="B90" s="76" t="s">
        <v>141</v>
      </c>
      <c r="C90" s="340" t="s">
        <v>109</v>
      </c>
      <c r="D90" s="341"/>
      <c r="F90" s="122" t="str">
        <f>_xlfn.XLOOKUP(G88,Gewasopbrengst_0[Gewasopbrengst gehele plant],Gewasopbrengst_0[Gewasopbrengst 1])</f>
        <v>Gehele plant</v>
      </c>
      <c r="G90" s="49" t="s">
        <v>79</v>
      </c>
      <c r="H90" s="45"/>
      <c r="I90" s="128" cm="1">
        <f t="array" ref="I90">IF(ISBLANK(H90),INDEX(Gewasopbrengst_1[[Geen]:[Waarde MIN]],_xlfn.XMATCH('Kleine lisdodde'!G88,Gewasopbrengst_1[Gewasopbrengst 1]),_xlfn.XMATCH('Kleine lisdodde'!G90,Gewasopbrengst_1[[#Headers],[Geen]:[Waarde MIN]])),H90)</f>
        <v>12</v>
      </c>
      <c r="J90" s="56" t="s">
        <v>142</v>
      </c>
      <c r="L90" s="76" t="s">
        <v>143</v>
      </c>
      <c r="M90" s="103"/>
      <c r="N90" s="103"/>
      <c r="O90" s="103"/>
      <c r="P90" s="56"/>
    </row>
    <row r="91" spans="2:26" ht="16.5" thickTop="1" thickBot="1">
      <c r="B91" s="55" t="str">
        <f>F90</f>
        <v>Gehele plant</v>
      </c>
      <c r="C91" s="130">
        <f>I90</f>
        <v>12</v>
      </c>
      <c r="D91" s="56" t="s">
        <v>142</v>
      </c>
      <c r="F91" s="122" t="str">
        <f>_xlfn.XLOOKUP(G88,Gewasopbrengst_0[Gewasopbrengst gehele plant],Gewasopbrengst_0[Gewasopbrengst 2])</f>
        <v>Aren</v>
      </c>
      <c r="G91" s="49" t="s">
        <v>79</v>
      </c>
      <c r="H91" s="201"/>
      <c r="I91" s="129" cm="1">
        <f t="array" ref="I91">IF(ISBLANK(H91),INDEX(Gewasopbrengst_2[[Geen]:[Waarde MIN]],_xlfn.XMATCH('Kleine lisdodde'!G88,Gewasopbrengst_2[Gewasopbrengst 2]),_xlfn.XMATCH('Kleine lisdodde'!G91,Gewasopbrengst_2[[#Headers],[Geen]:[Waarde MIN]])),H91)</f>
        <v>0.5</v>
      </c>
      <c r="J91" s="56" t="s">
        <v>142</v>
      </c>
      <c r="L91" s="122" t="str">
        <f>F90</f>
        <v>Gehele plant</v>
      </c>
      <c r="M91" s="49" t="s">
        <v>79</v>
      </c>
      <c r="N91" s="45"/>
      <c r="O91" s="47" cm="1">
        <f t="array" ref="O91">IF(ISBLANK(N91),INDEX(GehalteDS_1[[Geen]:[Waarde MIN]],_xlfn.XMATCH('Kleine lisdodde'!G88,GehalteDS_1[DS-gehalte 1]),_xlfn.XMATCH('Kleine lisdodde'!M91,GehalteDS_1[[#Headers],[Geen]:[Waarde MIN]])),N91)</f>
        <v>0.6</v>
      </c>
      <c r="P91" s="56" t="s">
        <v>144</v>
      </c>
    </row>
    <row r="92" spans="2:26" ht="16.5" thickTop="1" thickBot="1">
      <c r="B92" s="55" t="str">
        <f>F91</f>
        <v>Aren</v>
      </c>
      <c r="C92" s="130">
        <f>I91</f>
        <v>0.5</v>
      </c>
      <c r="D92" s="56" t="s">
        <v>142</v>
      </c>
      <c r="F92" s="55"/>
      <c r="G92" s="103"/>
      <c r="H92" s="103"/>
      <c r="I92" s="43"/>
      <c r="J92" s="56"/>
      <c r="L92" s="122" t="str">
        <f>F91</f>
        <v>Aren</v>
      </c>
      <c r="M92" s="49" t="s">
        <v>126</v>
      </c>
      <c r="N92" s="201"/>
      <c r="O92" s="216" cm="1">
        <f t="array" ref="O92">IF(ISBLANK(N92),INDEX(GehalteDS_2[[Geen]:[Waarde MIN]],_xlfn.XMATCH('Kleine lisdodde'!G88,GehalteDS_2[DS-gehalte 2]),_xlfn.XMATCH('Kleine lisdodde'!M92,GehalteDS_2[[#Headers],[Geen]:[Waarde MIN]])),N92)</f>
        <v>0.5</v>
      </c>
      <c r="P92" s="56" t="s">
        <v>144</v>
      </c>
    </row>
    <row r="93" spans="2:26" ht="16.5" thickTop="1" thickBot="1">
      <c r="B93" s="55"/>
      <c r="C93" s="103"/>
      <c r="D93" s="56"/>
      <c r="F93" s="76" t="s">
        <v>145</v>
      </c>
      <c r="G93" s="63" t="s">
        <v>112</v>
      </c>
      <c r="H93" s="64" t="s">
        <v>111</v>
      </c>
      <c r="I93" s="43"/>
      <c r="J93" s="56"/>
      <c r="L93" s="55"/>
      <c r="M93" s="103"/>
      <c r="N93" s="103"/>
      <c r="O93" s="103"/>
      <c r="P93" s="56"/>
    </row>
    <row r="94" spans="2:26" ht="16.5" thickTop="1" thickBot="1">
      <c r="B94" s="76" t="str">
        <f>F93</f>
        <v xml:space="preserve">Opbrengstprijzen </v>
      </c>
      <c r="C94" s="340" t="s">
        <v>109</v>
      </c>
      <c r="D94" s="341"/>
      <c r="F94" s="55" t="str">
        <f>F90</f>
        <v>Gehele plant</v>
      </c>
      <c r="G94" s="49" t="s">
        <v>79</v>
      </c>
      <c r="H94" s="45"/>
      <c r="I94" s="43" cm="1">
        <f t="array" ref="I94">IF(ISBLANK(H94),INDEX(Opbrengstprijs_1[[Geen]:[Waarde MIN]],_xlfn.XMATCH('Kleine lisdodde'!G88,Opbrengstprijs_1[Opbrengstprijs 1]),_xlfn.XMATCH('Kleine lisdodde'!G94,Opbrengstprijs_1[[#Headers],[Geen]:[Waarde MIN]])),H94)</f>
        <v>200</v>
      </c>
      <c r="J94" s="56" t="s">
        <v>146</v>
      </c>
      <c r="L94" s="55" t="s">
        <v>147</v>
      </c>
      <c r="M94" s="49" t="s">
        <v>148</v>
      </c>
      <c r="N94" s="103"/>
      <c r="O94" s="103"/>
      <c r="P94" s="56"/>
    </row>
    <row r="95" spans="2:26" ht="16.5" thickTop="1" thickBot="1">
      <c r="B95" s="55" t="str">
        <f>F94</f>
        <v>Gehele plant</v>
      </c>
      <c r="C95" s="43">
        <f>I94*I90</f>
        <v>2400</v>
      </c>
      <c r="D95" s="56" t="s">
        <v>149</v>
      </c>
      <c r="F95" s="55" t="str">
        <f>F91</f>
        <v>Aren</v>
      </c>
      <c r="G95" s="49" t="s">
        <v>126</v>
      </c>
      <c r="H95" s="201"/>
      <c r="I95" s="107" cm="1">
        <f t="array" ref="I95">IF(ISBLANK(H95),INDEX(Opbrengstprijs_2[[Geen]:[Waarde MIN]],_xlfn.XMATCH('Kleine lisdodde'!G88,Opbrengstprijs_2[Opbrengstprijs 2]),_xlfn.XMATCH('Kleine lisdodde'!G95,Opbrengstprijs_2[[#Headers],[Geen]:[Waarde MIN]])),H95)</f>
        <v>800</v>
      </c>
      <c r="J95" s="56" t="s">
        <v>146</v>
      </c>
      <c r="L95" s="55"/>
      <c r="M95" s="103"/>
      <c r="N95" s="103"/>
      <c r="O95" s="103"/>
      <c r="P95" s="56"/>
    </row>
    <row r="96" spans="2:26" ht="16" thickTop="1">
      <c r="B96" s="55" t="str">
        <f>F95</f>
        <v>Aren</v>
      </c>
      <c r="C96" s="43">
        <f>I95*I91</f>
        <v>400</v>
      </c>
      <c r="D96" s="56" t="s">
        <v>149</v>
      </c>
      <c r="F96" s="215"/>
      <c r="G96" s="104"/>
      <c r="H96" s="104"/>
      <c r="I96" s="118"/>
      <c r="J96" s="58"/>
      <c r="L96" s="76" t="s">
        <v>150</v>
      </c>
      <c r="M96" s="63" t="s">
        <v>112</v>
      </c>
      <c r="N96" s="64" t="s">
        <v>111</v>
      </c>
      <c r="O96" s="103"/>
      <c r="P96" s="56"/>
    </row>
    <row r="97" spans="2:16">
      <c r="B97" s="55"/>
      <c r="C97" s="103"/>
      <c r="D97" s="56"/>
      <c r="L97" s="114" t="s">
        <v>151</v>
      </c>
      <c r="M97" s="120">
        <f>_xlfn.XLOOKUP(M94,B91:B92,C91:C92)</f>
        <v>12</v>
      </c>
      <c r="N97" s="135"/>
      <c r="O97" s="108">
        <f>IF(M89="Ja",IF(ISBLANK(N97),M97,N97),0)</f>
        <v>12</v>
      </c>
      <c r="P97" s="112" t="s">
        <v>152</v>
      </c>
    </row>
    <row r="98" spans="2:16" s="195" customFormat="1">
      <c r="B98" s="76" t="s">
        <v>153</v>
      </c>
      <c r="C98" s="340" t="s">
        <v>109</v>
      </c>
      <c r="D98" s="341"/>
      <c r="F98" s="165" t="s">
        <v>154</v>
      </c>
      <c r="G98" s="166"/>
      <c r="H98" s="166"/>
      <c r="I98" s="175"/>
      <c r="J98" s="167"/>
      <c r="L98" s="114"/>
      <c r="M98" s="73"/>
      <c r="N98" s="73"/>
      <c r="O98" s="127">
        <f>_xlfn.XLOOKUP(M94,L91:L92,O91:O92)</f>
        <v>0.6</v>
      </c>
      <c r="P98" s="112" t="s">
        <v>144</v>
      </c>
    </row>
    <row r="99" spans="2:16" ht="16" thickBot="1">
      <c r="B99" s="55" t="str">
        <f>F100</f>
        <v>Oogstkosten Gehele plant</v>
      </c>
      <c r="C99" s="42">
        <f>I100</f>
        <v>304.14999999999998</v>
      </c>
      <c r="D99" s="56" t="s">
        <v>88</v>
      </c>
      <c r="F99" s="168"/>
      <c r="G99" s="103"/>
      <c r="H99" s="103"/>
      <c r="I99" s="43"/>
      <c r="J99" s="176"/>
      <c r="L99" s="125" t="s">
        <v>155</v>
      </c>
      <c r="M99" s="73"/>
      <c r="N99" s="73"/>
      <c r="O99" s="107">
        <f>IFERROR(O97/O98,0)</f>
        <v>20</v>
      </c>
      <c r="P99" s="56" t="s">
        <v>156</v>
      </c>
    </row>
    <row r="100" spans="2:16" ht="16.5" thickTop="1" thickBot="1">
      <c r="B100" s="55" t="str">
        <f>F110</f>
        <v>Opslag - Plant/blad &amp; stengelmateriaal</v>
      </c>
      <c r="C100" s="42">
        <f>IFERROR(#REF!/#REF!,0)</f>
        <v>0</v>
      </c>
      <c r="D100" s="56" t="s">
        <v>88</v>
      </c>
      <c r="F100" s="189" t="str">
        <f>_xlfn.CONCAT("Oogstkosten ",F90)</f>
        <v>Oogstkosten Gehele plant</v>
      </c>
      <c r="G100" s="63" t="s">
        <v>112</v>
      </c>
      <c r="H100" s="64" t="s">
        <v>111</v>
      </c>
      <c r="I100" s="41">
        <f>SUM(I106,I103)</f>
        <v>304.14999999999998</v>
      </c>
      <c r="J100" s="177" t="s">
        <v>88</v>
      </c>
      <c r="L100" s="114" t="str">
        <f>'DATA - Variabelen &amp; waarden'!B383</f>
        <v xml:space="preserve">Drogestofgehalte output </v>
      </c>
      <c r="M100" s="49" t="s">
        <v>79</v>
      </c>
      <c r="N100" s="45"/>
      <c r="O100" s="127" cm="1">
        <f t="array" ref="O100">IF(ISBLANK(N100),INDEX(VoorDroog[[#All],[Geen]:[Waarde MIN]],_xlfn.XMATCH('Kleine lisdodde'!L100,VoorDroog[[#All],[Voordrogen]]),_xlfn.XMATCH('Kleine lisdodde'!M100,VoorDroog[[#Headers],[Geen]:[Waarde MIN]])),N100)</f>
        <v>0.9</v>
      </c>
      <c r="P100" s="112" t="s">
        <v>144</v>
      </c>
    </row>
    <row r="101" spans="2:16" ht="16.5" thickTop="1" thickBot="1">
      <c r="B101" s="55" t="str">
        <f>F117</f>
        <v>Oogstkosten Aren</v>
      </c>
      <c r="C101" s="42">
        <f>I117</f>
        <v>145.25</v>
      </c>
      <c r="D101" s="56" t="s">
        <v>88</v>
      </c>
      <c r="F101" s="185" t="s">
        <v>213</v>
      </c>
      <c r="G101" s="49" t="s">
        <v>79</v>
      </c>
      <c r="H101" s="45"/>
      <c r="I101" s="108" cm="1">
        <f t="array" ref="I101">IF(ISBLANK(H101),INDEX(HarvestCost01[[#All],[Geen]:[Waarde MIN]],_xlfn.XMATCH('Kleine lisdodde'!F101,HarvestCost01[[#All],[Oogst - tarief - Gehele plant/blad &amp; stengelmateriaal]]),_xlfn.XMATCH('Kleine lisdodde'!G101,HarvestCost01[[#Headers],[Geen]:[Waarde MIN]])),H101)</f>
        <v>317</v>
      </c>
      <c r="J101" s="181" t="s">
        <v>117</v>
      </c>
      <c r="L101" s="125" t="s">
        <v>158</v>
      </c>
      <c r="M101" s="103"/>
      <c r="N101" s="103"/>
      <c r="O101" s="42">
        <f>IFERROR(IF($O$98&lt;$O$100,O97/O100,0),0)</f>
        <v>13.333333333333332</v>
      </c>
      <c r="P101" s="56" t="s">
        <v>156</v>
      </c>
    </row>
    <row r="102" spans="2:16" ht="16.5" thickTop="1" thickBot="1">
      <c r="B102" s="55" t="str">
        <f>F127</f>
        <v>Opslag - Zaden</v>
      </c>
      <c r="C102" s="42">
        <f>IFERROR(#REF!/#REF!,0)</f>
        <v>0</v>
      </c>
      <c r="D102" s="56" t="s">
        <v>88</v>
      </c>
      <c r="F102" s="179" t="s">
        <v>159</v>
      </c>
      <c r="G102" s="49" t="s">
        <v>126</v>
      </c>
      <c r="H102" s="45"/>
      <c r="I102" s="187" cm="1">
        <f t="array" ref="I102">IF(ISBLANK(H102),INDEX('DATA - Variabelen &amp; waarden'!D298:G307,_xlfn.XMATCH('Kleine lisdodde'!F101,'DATA - Variabelen &amp; waarden'!B298:B307),_xlfn.XMATCH('Kleine lisdodde'!G102,'DATA - Variabelen &amp; waarden'!D298:G298)),H102)</f>
        <v>0.75</v>
      </c>
      <c r="J102" s="188" t="s">
        <v>116</v>
      </c>
      <c r="L102" s="134" t="s">
        <v>160</v>
      </c>
      <c r="M102" s="132"/>
      <c r="N102" s="132"/>
      <c r="O102" s="144">
        <f>IF(O98&lt;O100,O99-O101,0)</f>
        <v>6.6666666666666679</v>
      </c>
      <c r="P102" s="133" t="s">
        <v>156</v>
      </c>
    </row>
    <row r="103" spans="2:16" ht="16.5" thickTop="1" thickBot="1">
      <c r="B103" s="145" t="s">
        <v>161</v>
      </c>
      <c r="C103" s="42">
        <f>IFERROR(#REF!/#REF!,0)</f>
        <v>0</v>
      </c>
      <c r="D103" s="146" t="s">
        <v>88</v>
      </c>
      <c r="F103" s="186" t="s">
        <v>162</v>
      </c>
      <c r="G103" s="173">
        <f>I101*I102</f>
        <v>237.75</v>
      </c>
      <c r="H103" s="45"/>
      <c r="I103" s="107">
        <f>IF(ISBLANK(H103),G103,H103)</f>
        <v>237.75</v>
      </c>
      <c r="J103" s="162" t="s">
        <v>88</v>
      </c>
      <c r="L103" s="55" t="s">
        <v>163</v>
      </c>
      <c r="M103" s="49" t="s">
        <v>126</v>
      </c>
      <c r="N103" s="142"/>
      <c r="O103" s="48" cm="1">
        <f t="array" ref="O103">IF(ISBLANK(N103),_xlfn.XLOOKUP(M103,Tabel37[[#Headers],[Geen]:[Waarde MIN]],'DATA - Variabelen &amp; waarden'!D415:G415,"Selecteer waarde"),N103)</f>
        <v>2.5</v>
      </c>
      <c r="P103" s="56" t="s">
        <v>164</v>
      </c>
    </row>
    <row r="104" spans="2:16" ht="16.5" thickTop="1" thickBot="1">
      <c r="B104" s="78" t="s">
        <v>165</v>
      </c>
      <c r="C104" s="147">
        <f>SUM(C99:C103)</f>
        <v>449.4</v>
      </c>
      <c r="D104" s="217" t="s">
        <v>88</v>
      </c>
      <c r="F104" s="179" t="str">
        <f>HarvestCost11[[#Headers],[Veld &amp; opslaglogistiek - tarief - Gehele plant/blad &amp; stengelmateriaal]]</f>
        <v>Veld &amp; opslaglogistiek - tarief - Gehele plant/blad &amp; stengelmateriaal</v>
      </c>
      <c r="G104" s="49" t="s">
        <v>79</v>
      </c>
      <c r="H104" s="45"/>
      <c r="I104" s="187" cm="1">
        <f t="array" ref="I104">IF(ISBLANK(H104),_xlfn.XLOOKUP(G104,HarvestCost11[[#Headers],[Geen]:[Waarde MIN]],HarvestCost11[[#Totals],[Geen]:[Waarde MIN]]),H104)</f>
        <v>80</v>
      </c>
      <c r="J104" s="188" t="s">
        <v>117</v>
      </c>
      <c r="L104" s="55"/>
      <c r="M104" s="103"/>
      <c r="N104" s="103"/>
      <c r="O104" s="103"/>
      <c r="P104" s="56"/>
    </row>
    <row r="105" spans="2:16" ht="16.5" thickTop="1" thickBot="1">
      <c r="F105" s="179" t="s">
        <v>166</v>
      </c>
      <c r="G105" s="49" t="s">
        <v>79</v>
      </c>
      <c r="H105" s="45"/>
      <c r="I105" s="187" cm="1">
        <f t="array" ref="I105">IF(ISBLANK(H105),INDEX('DATA - Variabelen &amp; waarden'!D298:G307,_xlfn.XMATCH('Kleine lisdodde'!F101,'DATA - Variabelen &amp; waarden'!B298:B307),_xlfn.XMATCH('Kleine lisdodde'!G105,'DATA - Variabelen &amp; waarden'!D298:G298)),H105)</f>
        <v>0.83</v>
      </c>
      <c r="J105" s="188" t="s">
        <v>116</v>
      </c>
      <c r="L105" s="76" t="s">
        <v>167</v>
      </c>
      <c r="M105" s="63" t="s">
        <v>112</v>
      </c>
      <c r="N105" s="64" t="s">
        <v>111</v>
      </c>
      <c r="O105" s="103"/>
      <c r="P105" s="56"/>
    </row>
    <row r="106" spans="2:16" ht="16.5" thickTop="1" thickBot="1">
      <c r="F106" s="186" t="s">
        <v>168</v>
      </c>
      <c r="G106" s="173">
        <f>I104*I105</f>
        <v>66.399999999999991</v>
      </c>
      <c r="H106" s="45"/>
      <c r="I106" s="107">
        <f>IF(ISBLANK(H106),G106,H106)</f>
        <v>66.399999999999991</v>
      </c>
      <c r="J106" s="162" t="s">
        <v>88</v>
      </c>
      <c r="L106" s="114" t="s">
        <v>169</v>
      </c>
      <c r="M106" s="73"/>
      <c r="N106" s="45">
        <v>25</v>
      </c>
      <c r="O106" s="73">
        <f>N106</f>
        <v>25</v>
      </c>
      <c r="P106" s="112" t="s">
        <v>170</v>
      </c>
    </row>
    <row r="107" spans="2:16" ht="16.5" thickTop="1" thickBot="1">
      <c r="F107" s="160"/>
      <c r="G107" s="161"/>
      <c r="H107" s="161"/>
      <c r="I107" s="173"/>
      <c r="J107" s="162"/>
      <c r="L107" s="138" t="s">
        <v>171</v>
      </c>
      <c r="M107" s="49" t="s">
        <v>79</v>
      </c>
      <c r="N107" s="45"/>
      <c r="O107" s="137" cm="1">
        <f t="array" ref="O107">IF(ISBLANK(N107),INDEX(ProcesCost01[[#All],[Geen]:[Waarde MIN]],_xlfn.XMATCH('Kleine lisdodde'!L107,ProcesCost01[[#All],[Transportkosten]]),_xlfn.XMATCH('Kleine lisdodde'!M107,ProcesCost01[[#Headers],[Geen]:[Waarde MIN]])),N107)</f>
        <v>0.12</v>
      </c>
      <c r="P107" s="112" t="s">
        <v>172</v>
      </c>
    </row>
    <row r="108" spans="2:16" ht="16.5" thickTop="1" thickBot="1">
      <c r="F108" s="189" t="str">
        <f>_xlfn.CONCAT("Bewaarmethode ",F90)</f>
        <v>Bewaarmethode Gehele plant</v>
      </c>
      <c r="G108" s="103"/>
      <c r="H108" s="103"/>
      <c r="I108" s="43"/>
      <c r="J108" s="176"/>
      <c r="L108" s="125" t="s">
        <v>173</v>
      </c>
      <c r="M108" s="103"/>
      <c r="N108" s="45"/>
      <c r="O108" s="107">
        <f>IF(ISBLANK(N108),IF($O$98&lt;$O$100,O106*O107*O99,0),N108)</f>
        <v>60</v>
      </c>
      <c r="P108" s="56" t="s">
        <v>174</v>
      </c>
    </row>
    <row r="109" spans="2:16" ht="16.5" thickTop="1" thickBot="1">
      <c r="F109" s="178" t="s">
        <v>197</v>
      </c>
      <c r="G109" s="49" t="s">
        <v>79</v>
      </c>
      <c r="H109" s="45"/>
      <c r="I109" s="43" cm="1">
        <f t="array" ref="I109">IF(ISBLANK(H109),INDEX(Stock1[[#All],[Geen]:[Waarde MIN]],_xlfn.XMATCH('Kleine lisdodde'!F109,Stock1[[#All],[Bewaarmethode - Plant/blad &amp; stengelmateriaal]]),_xlfn.XMATCH('Kleine lisdodde'!G109,Stock1[[#Headers],[Geen]:[Waarde MIN]])),H109)</f>
        <v>125</v>
      </c>
      <c r="J109" s="176" t="s">
        <v>176</v>
      </c>
      <c r="L109" s="122"/>
      <c r="M109" s="103"/>
      <c r="N109" s="103"/>
      <c r="O109" s="103"/>
      <c r="P109" s="56"/>
    </row>
    <row r="110" spans="2:16" ht="16.5" thickTop="1" thickBot="1">
      <c r="F110" s="189" t="str">
        <f>Stock11[[#Headers],[Opslag - Plant/blad &amp; stengelmateriaal]]</f>
        <v>Opslag - Plant/blad &amp; stengelmateriaal</v>
      </c>
      <c r="G110" s="103"/>
      <c r="H110" s="103"/>
      <c r="I110" s="43"/>
      <c r="J110" s="176"/>
      <c r="L110" s="114" t="s">
        <v>177</v>
      </c>
      <c r="M110" s="73"/>
      <c r="N110" s="45"/>
      <c r="O110" s="73">
        <f>N110</f>
        <v>0</v>
      </c>
      <c r="P110" s="112" t="s">
        <v>170</v>
      </c>
    </row>
    <row r="111" spans="2:16" ht="16.5" thickTop="1" thickBot="1">
      <c r="F111" s="178" t="s">
        <v>178</v>
      </c>
      <c r="G111" s="49" t="s">
        <v>79</v>
      </c>
      <c r="H111" s="45"/>
      <c r="I111" s="48" cm="1">
        <f t="array" ref="I111">IF(ISBLANK(H111),INDEX(Stock11[[#All],[Geen]:[Waarde MIN]],_xlfn.XMATCH('Kleine lisdodde'!F111,Stock11[[#All],[Opslag - Plant/blad &amp; stengelmateriaal]]),_xlfn.XMATCH('Kleine lisdodde'!G111,Stock11[[#Headers],[Geen]:[Waarde MIN]])),H111)</f>
        <v>8</v>
      </c>
      <c r="J111" s="176" t="s">
        <v>176</v>
      </c>
      <c r="L111" s="138" t="s">
        <v>114</v>
      </c>
      <c r="M111" s="49" t="s">
        <v>79</v>
      </c>
      <c r="N111" s="45"/>
      <c r="O111" s="137" cm="1">
        <f t="array" ref="O111">IF(ISBLANK(N111),INDEX(ProcesCost01[[#All],[Geen]:[Waarde MIN]],_xlfn.XMATCH('Kleine lisdodde'!L111,ProcesCost01[[#All],[Transportkosten]]),_xlfn.XMATCH('Kleine lisdodde'!M111,ProcesCost01[[#Headers],[Geen]:[Waarde MIN]])),N111)</f>
        <v>0</v>
      </c>
      <c r="P111" s="112" t="s">
        <v>172</v>
      </c>
    </row>
    <row r="112" spans="2:16" ht="16.5" thickTop="1" thickBot="1">
      <c r="F112" s="180" t="s">
        <v>179</v>
      </c>
      <c r="G112" s="103"/>
      <c r="H112" s="103"/>
      <c r="I112" s="43"/>
      <c r="J112" s="176"/>
      <c r="L112" s="125" t="s">
        <v>180</v>
      </c>
      <c r="M112" s="103"/>
      <c r="N112" s="45"/>
      <c r="O112" s="107">
        <f>IF(ISBLANK(N112),O110*O111*O101,N112)</f>
        <v>0</v>
      </c>
      <c r="P112" s="56" t="s">
        <v>174</v>
      </c>
    </row>
    <row r="113" spans="6:16" ht="16.5" thickTop="1" thickBot="1">
      <c r="F113" s="178" t="s">
        <v>181</v>
      </c>
      <c r="G113" s="49" t="s">
        <v>79</v>
      </c>
      <c r="H113" s="45"/>
      <c r="I113" s="108" cm="1">
        <f t="array" ref="I113">IF(ISBLANK(H113),INDEX(StockBales[[#All],[Geen]:[Waarde MIN]],_xlfn.XMATCH(F113,StockBales[[#All],[DS inhoud balen ]]),_xlfn.XMATCH('Kleine lisdodde'!G113,StockBales[[#Headers],[Geen]:[Waarde MIN]])),H113)</f>
        <v>299.70000000000005</v>
      </c>
      <c r="J113" s="181" t="s">
        <v>182</v>
      </c>
      <c r="L113" s="122"/>
      <c r="M113" s="103"/>
      <c r="N113" s="103"/>
      <c r="O113" s="103"/>
      <c r="P113" s="56"/>
    </row>
    <row r="114" spans="6:16" ht="16.5" thickTop="1" thickBot="1">
      <c r="F114" s="182" t="s">
        <v>183</v>
      </c>
      <c r="G114" s="103"/>
      <c r="H114" s="103"/>
      <c r="I114" s="107">
        <f>IF(OR(F109='DATA - Variabelen &amp; waarden'!B343,F109='DATA - Variabelen &amp; waarden'!B344,F109='DATA - Variabelen &amp; waarden'!B346),I113/1000*I109,0)</f>
        <v>0</v>
      </c>
      <c r="J114" s="176" t="s">
        <v>184</v>
      </c>
      <c r="L114" s="76" t="s">
        <v>185</v>
      </c>
      <c r="M114" s="63" t="s">
        <v>112</v>
      </c>
      <c r="N114" s="64" t="s">
        <v>111</v>
      </c>
      <c r="O114" s="103"/>
      <c r="P114" s="56"/>
    </row>
    <row r="115" spans="6:16" ht="16.5" thickTop="1" thickBot="1">
      <c r="F115" s="182" t="s">
        <v>186</v>
      </c>
      <c r="G115" s="103"/>
      <c r="H115" s="103"/>
      <c r="I115" s="117">
        <f>IF(OR(F111='DATA - Variabelen &amp; waarden'!B353,F111='DATA - Variabelen &amp; waarden'!B354,F111='DATA - Variabelen &amp; waarden'!B355),'Kleine lisdodde'!I113/1000*'Kleine lisdodde'!I111,0)</f>
        <v>2.3976000000000002</v>
      </c>
      <c r="J115" s="176" t="s">
        <v>184</v>
      </c>
      <c r="L115" s="138" t="s">
        <v>665</v>
      </c>
      <c r="M115" s="49" t="s">
        <v>126</v>
      </c>
      <c r="N115" s="53"/>
      <c r="O115" s="140" cm="1">
        <f t="array" ref="O115">IF(ISBLANK(N115),INDEX(DryingCost1[[#All],[Geen]:[Waarde MIN]],_xlfn.XMATCH('Kleine lisdodde'!L115,DryingCost1[[#All],[Drogen - Kosten]]),_xlfn.XMATCH('Kleine lisdodde'!M115,DryingCost1[[#Headers],[Geen]:[Waarde MIN]])),N115)</f>
        <v>400</v>
      </c>
      <c r="P115" s="112" t="s">
        <v>188</v>
      </c>
    </row>
    <row r="116" spans="6:16" ht="16.5" thickTop="1" thickBot="1">
      <c r="F116" s="168"/>
      <c r="G116" s="103"/>
      <c r="H116" s="103"/>
      <c r="I116" s="43"/>
      <c r="J116" s="176"/>
      <c r="L116" s="124" t="s">
        <v>189</v>
      </c>
      <c r="M116" s="49" t="s">
        <v>129</v>
      </c>
      <c r="N116" s="52"/>
      <c r="O116" s="141" cm="1">
        <f t="array" ref="O116">IF(ISBLANK(N116),INDEX(DryingCost11[[#All],[Geen]:[Waarde MIN]],_xlfn.XMATCH('Kleine lisdodde'!L115,DryingCost11[[#All],[Drogen - Producteffciency]]),_xlfn.XMATCH('Kleine lisdodde'!M116,DryingCost11[[#Headers],[Geen]:[Waarde MIN]])),N116)</f>
        <v>1</v>
      </c>
      <c r="P116" s="112" t="s">
        <v>190</v>
      </c>
    </row>
    <row r="117" spans="6:16" ht="16.5" thickTop="1" thickBot="1">
      <c r="F117" s="189" t="str">
        <f>_xlfn.CONCAT("Oogstkosten ",F91)</f>
        <v>Oogstkosten Aren</v>
      </c>
      <c r="G117" s="63" t="s">
        <v>112</v>
      </c>
      <c r="H117" s="64" t="s">
        <v>111</v>
      </c>
      <c r="I117" s="174">
        <f>SUM(I120,I123)</f>
        <v>145.25</v>
      </c>
      <c r="J117" s="177" t="s">
        <v>88</v>
      </c>
      <c r="L117" s="139" t="s">
        <v>185</v>
      </c>
      <c r="M117" s="103"/>
      <c r="N117" s="45"/>
      <c r="O117" s="107">
        <f>IF(ISBLANK(N117),O115*O102,N117)</f>
        <v>2666.666666666667</v>
      </c>
      <c r="P117" s="56" t="s">
        <v>174</v>
      </c>
    </row>
    <row r="118" spans="6:16" ht="16.5" thickTop="1" thickBot="1">
      <c r="F118" s="185" t="s">
        <v>601</v>
      </c>
      <c r="G118" s="49" t="s">
        <v>79</v>
      </c>
      <c r="H118" s="45"/>
      <c r="I118" s="187" cm="1">
        <f t="array" ref="I118">IF(ISBLANK(H118),INDEX(HarvestCost2[[#All],[Geen]:[Waarde MIN]],_xlfn.XMATCH('Kleine lisdodde'!F118,HarvestCost2[[#All],[Oogst - tarief - Zaden]]),_xlfn.XMATCH('Kleine lisdodde'!G118,HarvestCost2[[#Headers],[Geen]:[Waarde MIN]])),H118)</f>
        <v>175</v>
      </c>
      <c r="J118" s="181" t="s">
        <v>117</v>
      </c>
      <c r="L118" s="125" t="s">
        <v>191</v>
      </c>
      <c r="M118" s="103"/>
      <c r="N118" s="103"/>
      <c r="O118" s="42">
        <f>O101*O116</f>
        <v>13.333333333333332</v>
      </c>
      <c r="P118" s="56" t="s">
        <v>156</v>
      </c>
    </row>
    <row r="119" spans="6:16" ht="16.5" thickTop="1" thickBot="1">
      <c r="F119" s="191" t="s">
        <v>159</v>
      </c>
      <c r="G119" s="190" t="s">
        <v>79</v>
      </c>
      <c r="H119" s="45"/>
      <c r="I119" s="193" cm="1">
        <f t="array" ref="I119">IF(ISBLANK(H119),INDEX('DATA - Variabelen &amp; waarden'!D323:G329,_xlfn.XMATCH('Kleine lisdodde'!F118,'DATA - Variabelen &amp; waarden'!B323:B329),_xlfn.XMATCH('Kleine lisdodde'!G119,'DATA - Variabelen &amp; waarden'!D323:G323)),H119)</f>
        <v>0.83</v>
      </c>
      <c r="J119" s="194" t="s">
        <v>116</v>
      </c>
      <c r="L119" s="125" t="s">
        <v>192</v>
      </c>
      <c r="M119" s="103"/>
      <c r="N119" s="103"/>
      <c r="O119" s="42">
        <f>O101-O118</f>
        <v>0</v>
      </c>
      <c r="P119" s="56" t="s">
        <v>156</v>
      </c>
    </row>
    <row r="120" spans="6:16" ht="16.5" thickTop="1" thickBot="1">
      <c r="F120" s="186" t="s">
        <v>162</v>
      </c>
      <c r="G120" s="173">
        <f>I118*I119</f>
        <v>145.25</v>
      </c>
      <c r="H120" s="45"/>
      <c r="I120" s="107">
        <f>IF(ISBLANK(H120),G120,H120)</f>
        <v>145.25</v>
      </c>
      <c r="J120" s="162" t="s">
        <v>88</v>
      </c>
      <c r="L120" s="55"/>
      <c r="M120" s="103"/>
      <c r="N120" s="103"/>
      <c r="O120" s="103"/>
      <c r="P120" s="56"/>
    </row>
    <row r="121" spans="6:16" ht="18" customHeight="1" thickTop="1" thickBot="1">
      <c r="F121" s="179" t="str">
        <f>HarvestCost21[[#Headers],[Veld &amp; opslaglogistiek - tarief - Zaden]]</f>
        <v>Veld &amp; opslaglogistiek - tarief - Zaden</v>
      </c>
      <c r="G121" s="49" t="s">
        <v>114</v>
      </c>
      <c r="H121" s="45"/>
      <c r="I121" s="187" cm="1">
        <f t="array" ref="I121">IF(ISBLANK(H121),_xlfn.XLOOKUP(G121,HarvestCost21[[#Headers],[Geen]:[Waarde MIN]],HarvestCost21[[#Totals],[Geen]:[Waarde MIN]]),H121)</f>
        <v>0</v>
      </c>
      <c r="J121" s="188" t="s">
        <v>117</v>
      </c>
      <c r="L121" s="123" t="s">
        <v>80</v>
      </c>
      <c r="M121" s="103"/>
      <c r="N121" s="103"/>
      <c r="O121" s="103"/>
      <c r="P121" s="56"/>
    </row>
    <row r="122" spans="6:16" ht="16.5" thickTop="1" thickBot="1">
      <c r="F122" s="179" t="s">
        <v>166</v>
      </c>
      <c r="G122" s="49" t="s">
        <v>114</v>
      </c>
      <c r="H122" s="45"/>
      <c r="I122" s="192" cm="1">
        <f t="array" ref="I122">IF(ISBLANK(H122),INDEX('DATA - Variabelen &amp; waarden'!D323:G329,_xlfn.XMATCH('Kleine lisdodde'!F118,'DATA - Variabelen &amp; waarden'!B323:B329),_xlfn.XMATCH('Kleine lisdodde'!G122,'DATA - Variabelen &amp; waarden'!D323:G323)),H122)</f>
        <v>0</v>
      </c>
      <c r="J122" s="188" t="s">
        <v>116</v>
      </c>
      <c r="L122" s="122" t="s">
        <v>193</v>
      </c>
      <c r="M122" s="103"/>
      <c r="N122" s="103"/>
      <c r="O122" s="42">
        <f>O108</f>
        <v>60</v>
      </c>
      <c r="P122" s="56" t="s">
        <v>194</v>
      </c>
    </row>
    <row r="123" spans="6:16" ht="16" thickTop="1">
      <c r="F123" s="186" t="s">
        <v>168</v>
      </c>
      <c r="G123" s="183">
        <f>I121*I122</f>
        <v>0</v>
      </c>
      <c r="H123" s="45"/>
      <c r="I123" s="107">
        <f>IF(ISBLANK(H123),G123,H123)</f>
        <v>0</v>
      </c>
      <c r="J123" s="162" t="s">
        <v>88</v>
      </c>
      <c r="L123" s="122" t="s">
        <v>195</v>
      </c>
      <c r="M123" s="103"/>
      <c r="N123" s="103"/>
      <c r="O123" s="42">
        <f>O112</f>
        <v>0</v>
      </c>
      <c r="P123" s="56" t="s">
        <v>194</v>
      </c>
    </row>
    <row r="124" spans="6:16">
      <c r="F124" s="160"/>
      <c r="G124" s="161"/>
      <c r="H124" s="161"/>
      <c r="I124" s="161"/>
      <c r="J124" s="162"/>
      <c r="L124" s="55" t="s">
        <v>185</v>
      </c>
      <c r="M124" s="103"/>
      <c r="N124" s="103"/>
      <c r="O124" s="42">
        <f>O117</f>
        <v>2666.666666666667</v>
      </c>
      <c r="P124" s="56" t="s">
        <v>194</v>
      </c>
    </row>
    <row r="125" spans="6:16" ht="19" thickBot="1">
      <c r="F125" s="189" t="str">
        <f>_xlfn.CONCAT("Bewaarmethode ",F91)</f>
        <v>Bewaarmethode Aren</v>
      </c>
      <c r="G125" s="103"/>
      <c r="H125" s="103"/>
      <c r="I125" s="173"/>
      <c r="J125" s="176"/>
      <c r="L125" s="131" t="s">
        <v>196</v>
      </c>
      <c r="M125" s="103"/>
      <c r="N125" s="103"/>
      <c r="O125" s="136">
        <f>O119*O103</f>
        <v>0</v>
      </c>
      <c r="P125" s="56" t="s">
        <v>194</v>
      </c>
    </row>
    <row r="126" spans="6:16" ht="16.5" thickTop="1" thickBot="1">
      <c r="F126" s="178" t="s">
        <v>197</v>
      </c>
      <c r="G126" s="49" t="s">
        <v>126</v>
      </c>
      <c r="H126" s="45"/>
      <c r="I126" s="43" cm="1">
        <f t="array" ref="I126">IF(ISBLANK(H126),INDEX(Stock1[[Geen]:[Waarde MIN]],_xlfn.XMATCH('Kleine lisdodde'!F126,Stock1[Bewaarmethode - Plant/blad &amp; stengelmateriaal]),_xlfn.XMATCH('Kleine lisdodde'!G126,Stock1[[#Headers],[Geen]:[Waarde MIN]])),H126)</f>
        <v>50</v>
      </c>
      <c r="J126" s="176" t="s">
        <v>176</v>
      </c>
      <c r="L126" s="143" t="s">
        <v>198</v>
      </c>
      <c r="M126" s="44"/>
      <c r="N126" s="44"/>
      <c r="O126" s="46">
        <f>SUM(O122:O125)</f>
        <v>2726.666666666667</v>
      </c>
      <c r="P126" s="111" t="s">
        <v>199</v>
      </c>
    </row>
    <row r="127" spans="6:16" ht="16.5" thickTop="1" thickBot="1">
      <c r="F127" s="189" t="str">
        <f>Stock21[[#Headers],[Opslag - Zaden]]</f>
        <v>Opslag - Zaden</v>
      </c>
      <c r="G127" s="103"/>
      <c r="H127" s="103"/>
      <c r="I127" s="43"/>
      <c r="J127" s="176"/>
      <c r="L127" s="125" t="s">
        <v>200</v>
      </c>
      <c r="M127" s="103"/>
      <c r="N127" s="103"/>
      <c r="O127" s="107">
        <f>IFERROR(O126/O118,0)</f>
        <v>204.50000000000003</v>
      </c>
      <c r="P127" s="56" t="s">
        <v>164</v>
      </c>
    </row>
    <row r="128" spans="6:16" ht="16.5" thickTop="1" thickBot="1">
      <c r="F128" s="178" t="s">
        <v>201</v>
      </c>
      <c r="G128" s="49" t="s">
        <v>79</v>
      </c>
      <c r="H128" s="45"/>
      <c r="I128" s="48" cm="1">
        <f t="array" ref="I128">IF(ISBLANK(H128),INDEX(Stock21[[#All],[Geen]:[Waarde MIN]],_xlfn.XMATCH('Kleine lisdodde'!F128,Stock21[[#All],[Opslag - Zaden]]),_xlfn.XMATCH('Kleine lisdodde'!G128,Stock21[[#Headers],[Geen]:[Waarde MIN]])),H128)</f>
        <v>8</v>
      </c>
      <c r="J128" s="176" t="s">
        <v>176</v>
      </c>
      <c r="L128" s="55"/>
      <c r="M128" s="103"/>
      <c r="N128" s="103"/>
      <c r="O128" s="103"/>
      <c r="P128" s="56"/>
    </row>
    <row r="129" spans="2:16" ht="16.5" thickTop="1" thickBot="1">
      <c r="F129" s="184" t="s">
        <v>202</v>
      </c>
      <c r="G129" s="103"/>
      <c r="H129" s="103"/>
      <c r="I129" s="43"/>
      <c r="J129" s="176"/>
      <c r="L129" s="55"/>
      <c r="M129" s="103"/>
      <c r="N129" s="103"/>
      <c r="O129" s="103"/>
      <c r="P129" s="56"/>
    </row>
    <row r="130" spans="2:16" ht="16.5" thickTop="1" thickBot="1">
      <c r="F130" s="178" t="s">
        <v>203</v>
      </c>
      <c r="G130" s="49" t="s">
        <v>129</v>
      </c>
      <c r="H130" s="45"/>
      <c r="I130" s="108" cm="1">
        <f t="array" ref="I130">IF(ISBLANK(H130),INDEX(StockPluis[[#All],[Geen]:[Waarde MIN]],_xlfn.XMATCH('Kleine lisdodde'!F130,StockPluis[[#All],[DS inhoud big bag]]),_xlfn.XMATCH('Kleine lisdodde'!G130,StockPluis[[#Headers],[Geen]:[Waarde MIN]])),H130)</f>
        <v>1000</v>
      </c>
      <c r="J130" s="181" t="s">
        <v>204</v>
      </c>
      <c r="L130" s="55"/>
      <c r="M130" s="103"/>
      <c r="N130" s="103"/>
      <c r="O130" s="103"/>
      <c r="P130" s="56"/>
    </row>
    <row r="131" spans="2:16" ht="16" thickTop="1">
      <c r="F131" s="182" t="s">
        <v>205</v>
      </c>
      <c r="G131" s="103"/>
      <c r="H131" s="103"/>
      <c r="I131" s="107">
        <f>IF(F126='DATA - Variabelen &amp; waarden'!B368,I130/1000*I126,0)</f>
        <v>50</v>
      </c>
      <c r="J131" s="176" t="s">
        <v>206</v>
      </c>
      <c r="L131" s="55"/>
      <c r="M131" s="103"/>
      <c r="N131" s="103"/>
      <c r="O131" s="103"/>
      <c r="P131" s="56"/>
    </row>
    <row r="132" spans="2:16">
      <c r="F132" s="182" t="s">
        <v>207</v>
      </c>
      <c r="G132" s="103"/>
      <c r="H132" s="103"/>
      <c r="I132" s="117">
        <f>IF(F128='DATA - Variabelen &amp; waarden'!B380,'Kleine lisdodde'!I130/1000*'Kleine lisdodde'!I128,0)</f>
        <v>8</v>
      </c>
      <c r="J132" s="176" t="s">
        <v>206</v>
      </c>
      <c r="L132" s="55"/>
      <c r="M132" s="103"/>
      <c r="N132" s="103"/>
      <c r="O132" s="103"/>
      <c r="P132" s="56"/>
    </row>
    <row r="133" spans="2:16">
      <c r="F133" s="57"/>
      <c r="G133" s="104"/>
      <c r="H133" s="104"/>
      <c r="I133" s="104"/>
      <c r="J133" s="58"/>
      <c r="L133" s="57"/>
      <c r="M133" s="104"/>
      <c r="N133" s="104"/>
      <c r="O133" s="104"/>
      <c r="P133" s="58"/>
    </row>
    <row r="134" spans="2:16" s="202" customFormat="1">
      <c r="B134" s="204"/>
      <c r="C134" s="204"/>
    </row>
    <row r="135" spans="2:16" s="202" customFormat="1"/>
    <row r="136" spans="2:16" s="202" customFormat="1">
      <c r="B136" s="206"/>
    </row>
    <row r="137" spans="2:16" s="202" customFormat="1">
      <c r="B137" s="205"/>
    </row>
    <row r="138" spans="2:16" s="202" customFormat="1"/>
    <row r="139" spans="2:16" s="202" customFormat="1">
      <c r="B139" s="204"/>
      <c r="I139" s="203"/>
    </row>
    <row r="140" spans="2:16" s="202" customFormat="1">
      <c r="I140" s="203"/>
    </row>
    <row r="141" spans="2:16" s="202" customFormat="1">
      <c r="I141" s="203"/>
    </row>
    <row r="142" spans="2:16">
      <c r="B142" s="39"/>
    </row>
    <row r="145" spans="2:3">
      <c r="B145" s="39"/>
      <c r="C145" s="39"/>
    </row>
  </sheetData>
  <mergeCells count="5">
    <mergeCell ref="C42:D42"/>
    <mergeCell ref="C51:D51"/>
    <mergeCell ref="C90:D90"/>
    <mergeCell ref="C94:D94"/>
    <mergeCell ref="C98:D98"/>
  </mergeCells>
  <conditionalFormatting sqref="F71:J74 G79:J79">
    <cfRule type="expression" dxfId="472" priority="2">
      <formula>$F$67="Zaaien"</formula>
    </cfRule>
  </conditionalFormatting>
  <conditionalFormatting sqref="F78:J78">
    <cfRule type="expression" dxfId="471" priority="4">
      <formula>$F$67="Zaaien"</formula>
    </cfRule>
  </conditionalFormatting>
  <conditionalFormatting sqref="F75:J77">
    <cfRule type="expression" dxfId="470" priority="3">
      <formula>$F$67="Planten"</formula>
    </cfRule>
  </conditionalFormatting>
  <conditionalFormatting sqref="F79">
    <cfRule type="expression" dxfId="469" priority="1">
      <formula>$F$67="Planten"</formula>
    </cfRule>
  </conditionalFormatting>
  <conditionalFormatting sqref="L93 F133:J133 L133:P133">
    <cfRule type="expression" dxfId="468" priority="5">
      <formula>$M$89="Nee"</formula>
    </cfRule>
  </conditionalFormatting>
  <dataValidations count="1">
    <dataValidation type="list" allowBlank="1" showInputMessage="1" showErrorMessage="1" sqref="M94" xr:uid="{8C955418-FFFE-4881-8885-825035D5AEEE}">
      <formula1>$B$91:$B$92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528C9F78-ED48-4BBA-9223-D09438BC922F}">
          <x14:formula1>
            <xm:f>'DATA - Variabelen &amp; waarden'!$B$7:$B$20</xm:f>
          </x14:formula1>
          <xm:sqref>F43</xm:sqref>
        </x14:dataValidation>
        <x14:dataValidation type="list" allowBlank="1" showInputMessage="1" showErrorMessage="1" xr:uid="{B41E0577-3955-4B61-B22E-31A7C2CAD5E6}">
          <x14:formula1>
            <xm:f>'DATA - Variabelen &amp; waarden'!$B$106:$B$112</xm:f>
          </x14:formula1>
          <xm:sqref>F65</xm:sqref>
        </x14:dataValidation>
        <x14:dataValidation type="list" allowBlank="1" showInputMessage="1" showErrorMessage="1" xr:uid="{19F8B6C5-A167-4CFC-A185-F897BAD88236}">
          <x14:formula1>
            <xm:f>'DATA - Variabelen &amp; waarden'!$B$42:$B$43</xm:f>
          </x14:formula1>
          <xm:sqref>F67</xm:sqref>
        </x14:dataValidation>
        <x14:dataValidation type="list" allowBlank="1" showInputMessage="1" showErrorMessage="1" xr:uid="{E2E6BCFC-2E85-466B-A74A-169B7C8A6E32}">
          <x14:formula1>
            <xm:f>'DATA - Variabelen &amp; waarden'!$B$388:$B$390</xm:f>
          </x14:formula1>
          <xm:sqref>L111 L107</xm:sqref>
        </x14:dataValidation>
        <x14:dataValidation type="list" allowBlank="1" showInputMessage="1" showErrorMessage="1" xr:uid="{332DED7E-ABD2-4302-B742-92A5B9B1F418}">
          <x14:formula1>
            <xm:f>'DATA - Variabelen &amp; waarden'!$D$387:$G$387</xm:f>
          </x14:formula1>
          <xm:sqref>M111 M107</xm:sqref>
        </x14:dataValidation>
        <x14:dataValidation type="list" allowBlank="1" showInputMessage="1" showErrorMessage="1" xr:uid="{C483B414-52B5-459E-8DD6-B7B0537DA4CF}">
          <x14:formula1>
            <xm:f>'DATA - Variabelen &amp; waarden'!$B$397:$B$403</xm:f>
          </x14:formula1>
          <xm:sqref>L115</xm:sqref>
        </x14:dataValidation>
        <x14:dataValidation type="list" allowBlank="1" showInputMessage="1" showErrorMessage="1" xr:uid="{76E4EC76-F7E9-471C-BD2A-83C343A96086}">
          <x14:formula1>
            <xm:f>'DATA - Variabelen &amp; waarden'!$D$396:$G$396</xm:f>
          </x14:formula1>
          <xm:sqref>M115</xm:sqref>
        </x14:dataValidation>
        <x14:dataValidation type="list" allowBlank="1" showInputMessage="1" showErrorMessage="1" xr:uid="{D15A38CB-8590-46CE-80DB-4A10D8FF2454}">
          <x14:formula1>
            <xm:f>'DATA - Variabelen &amp; waarden'!$D$405:$G$405</xm:f>
          </x14:formula1>
          <xm:sqref>M116</xm:sqref>
        </x14:dataValidation>
        <x14:dataValidation type="list" allowBlank="1" showInputMessage="1" showErrorMessage="1" xr:uid="{2E88FCE0-616A-4299-B72F-E401CCFB92BB}">
          <x14:formula1>
            <xm:f>'DATA - Variabelen &amp; waarden'!$D$375:$G$375</xm:f>
          </x14:formula1>
          <xm:sqref>G128</xm:sqref>
        </x14:dataValidation>
        <x14:dataValidation type="list" allowBlank="1" showInputMessage="1" showErrorMessage="1" xr:uid="{79D510A4-5E6A-4CB4-B3A2-2D6ED77940CB}">
          <x14:formula1>
            <xm:f>'DATA - Variabelen &amp; waarden'!$D$363:$G$363</xm:f>
          </x14:formula1>
          <xm:sqref>G126</xm:sqref>
        </x14:dataValidation>
        <x14:dataValidation type="list" allowBlank="1" showInputMessage="1" showErrorMessage="1" xr:uid="{9B6D6332-CFB8-44FA-99A1-39B4418DDF8A}">
          <x14:formula1>
            <xm:f>'DATA - Variabelen &amp; waarden'!$D$331:$G$331</xm:f>
          </x14:formula1>
          <xm:sqref>G121</xm:sqref>
        </x14:dataValidation>
        <x14:dataValidation type="list" allowBlank="1" showInputMessage="1" showErrorMessage="1" xr:uid="{19EA1807-8EA5-4060-81D2-C477810D7A15}">
          <x14:formula1>
            <xm:f>'DATA - Variabelen &amp; waarden'!$D$315:$G$315</xm:f>
          </x14:formula1>
          <xm:sqref>G118</xm:sqref>
        </x14:dataValidation>
        <x14:dataValidation type="list" allowBlank="1" showInputMessage="1" showErrorMessage="1" xr:uid="{FE8C4857-93E3-4975-A378-B1C0B4AB40C1}">
          <x14:formula1>
            <xm:f>'DATA - Variabelen &amp; waarden'!$B$316:$B$321</xm:f>
          </x14:formula1>
          <xm:sqref>F118</xm:sqref>
        </x14:dataValidation>
        <x14:dataValidation type="list" allowBlank="1" showInputMessage="1" showErrorMessage="1" xr:uid="{F4C57F4B-F3D0-4A60-99E7-FD4D6461D7C8}">
          <x14:formula1>
            <xm:f>'DATA - Variabelen &amp; waarden'!$D$309:$G$309</xm:f>
          </x14:formula1>
          <xm:sqref>G104</xm:sqref>
        </x14:dataValidation>
        <x14:dataValidation type="list" allowBlank="1" showInputMessage="1" showErrorMessage="1" xr:uid="{1B6EB56E-BF58-4BD5-900C-F6991015D774}">
          <x14:formula1>
            <xm:f>'DATA - Variabelen &amp; waarden'!$D$287:$G$287</xm:f>
          </x14:formula1>
          <xm:sqref>G101</xm:sqref>
        </x14:dataValidation>
        <x14:dataValidation type="list" allowBlank="1" showInputMessage="1" showErrorMessage="1" xr:uid="{2621ABD5-4268-4D83-9347-039FB3700C1A}">
          <x14:formula1>
            <xm:f>'DATA - Variabelen &amp; waarden'!$D$187:$G$187</xm:f>
          </x14:formula1>
          <xm:sqref>G90:G91 M91:M92 G94:G95</xm:sqref>
        </x14:dataValidation>
        <x14:dataValidation type="list" allowBlank="1" showInputMessage="1" showErrorMessage="1" xr:uid="{0164D468-696B-45B9-8D7F-2FB5D9A72EA4}">
          <x14:formula1>
            <xm:f>'DATA - Variabelen &amp; waarden'!$B$288:$B$296</xm:f>
          </x14:formula1>
          <xm:sqref>F101</xm:sqref>
        </x14:dataValidation>
        <x14:dataValidation type="list" allowBlank="1" showInputMessage="1" showErrorMessage="1" xr:uid="{E0A5DFB6-0E27-4557-8092-4E7BDFD3124D}">
          <x14:formula1>
            <xm:f>'DATA - Variabelen &amp; waarden'!$D$92:$G$92</xm:f>
          </x14:formula1>
          <xm:sqref>M79:M80 M82</xm:sqref>
        </x14:dataValidation>
        <x14:dataValidation type="list" allowBlank="1" showInputMessage="1" showErrorMessage="1" xr:uid="{6CEF1566-DF2E-4A6E-AAA4-CAAF7D5D14DB}">
          <x14:formula1>
            <xm:f>'DATA - Variabelen &amp; waarden'!$D$83:$G$83</xm:f>
          </x14:formula1>
          <xm:sqref>M70:M76</xm:sqref>
        </x14:dataValidation>
        <x14:dataValidation type="list" allowBlank="1" showInputMessage="1" showErrorMessage="1" xr:uid="{5E0B57A7-BC3D-43A4-B4C9-3B24DB8BC82A}">
          <x14:formula1>
            <xm:f>'DATA - Variabelen &amp; waarden'!$D$79:$G$79</xm:f>
          </x14:formula1>
          <xm:sqref>M66:M67</xm:sqref>
        </x14:dataValidation>
        <x14:dataValidation type="list" allowBlank="1" showInputMessage="1" showErrorMessage="1" xr:uid="{FD6F66D9-42CB-4B7D-A1C6-2A55FF95C153}">
          <x14:formula1>
            <xm:f>'DATA - Variabelen &amp; waarden'!$D$74:$G$74</xm:f>
          </x14:formula1>
          <xm:sqref>M61:M63</xm:sqref>
        </x14:dataValidation>
        <x14:dataValidation type="list" allowBlank="1" showInputMessage="1" showErrorMessage="1" xr:uid="{5D282659-0750-4F66-B48B-FEE9B7375C27}">
          <x14:formula1>
            <xm:f>'DATA - Variabelen &amp; waarden'!$D$56:$G$56</xm:f>
          </x14:formula1>
          <xm:sqref>M51:M54 M56:M57 M43:M46 M48:M49</xm:sqref>
        </x14:dataValidation>
        <x14:dataValidation type="list" allowBlank="1" showInputMessage="1" showErrorMessage="1" xr:uid="{3B6C1546-04FE-4A78-AA13-999EA636A096}">
          <x14:formula1>
            <xm:f>'DATA - Variabelen &amp; waarden'!$D$45:$G$45</xm:f>
          </x14:formula1>
          <xm:sqref>G69:G73 G75 G79 G77</xm:sqref>
        </x14:dataValidation>
        <x14:dataValidation type="list" allowBlank="1" showInputMessage="1" showErrorMessage="1" xr:uid="{B2B12AAC-4312-40B2-8682-1D68490F1327}">
          <x14:formula1>
            <xm:f>'DATA - Variabelen &amp; waarden'!$D$22:$G$22</xm:f>
          </x14:formula1>
          <xm:sqref>G46:G47 G49:G50 G58:G62 G52:G53 G55:G56</xm:sqref>
        </x14:dataValidation>
        <x14:dataValidation type="list" allowBlank="1" showInputMessage="1" showErrorMessage="1" xr:uid="{7CCE7920-BF87-47FA-B16C-1F0543BF1D7F}">
          <x14:formula1>
            <xm:f>'DATA - Variabelen &amp; waarden'!$D$340:$G$340</xm:f>
          </x14:formula1>
          <xm:sqref>G109</xm:sqref>
        </x14:dataValidation>
        <x14:dataValidation type="list" allowBlank="1" showInputMessage="1" showErrorMessage="1" xr:uid="{89193E86-003D-4310-9175-5D9BF7943E40}">
          <x14:formula1>
            <xm:f>'DATA - Variabelen &amp; waarden'!$D$348:$G$348</xm:f>
          </x14:formula1>
          <xm:sqref>G111</xm:sqref>
        </x14:dataValidation>
        <x14:dataValidation type="list" allowBlank="1" showInputMessage="1" showErrorMessage="1" xr:uid="{8C6A470B-01D6-42B1-B611-128530078920}">
          <x14:formula1>
            <xm:f>'DATA - Variabelen &amp; waarden'!$B$349:$B$355</xm:f>
          </x14:formula1>
          <xm:sqref>F111</xm:sqref>
        </x14:dataValidation>
        <x14:dataValidation type="list" allowBlank="1" showInputMessage="1" showErrorMessage="1" xr:uid="{7D378710-64CC-4C1F-AB79-11B134F93EF0}">
          <x14:formula1>
            <xm:f>'DATA - Variabelen &amp; waarden'!$B$358:$B$361</xm:f>
          </x14:formula1>
          <xm:sqref>F113</xm:sqref>
        </x14:dataValidation>
        <x14:dataValidation type="list" allowBlank="1" showInputMessage="1" showErrorMessage="1" xr:uid="{0E0134B2-279B-4B70-B09E-65B6CD7CBC49}">
          <x14:formula1>
            <xm:f>'DATA - Variabelen &amp; waarden'!$D$357:$G$357</xm:f>
          </x14:formula1>
          <xm:sqref>G113</xm:sqref>
        </x14:dataValidation>
        <x14:dataValidation type="list" allowBlank="1" showInputMessage="1" showErrorMessage="1" xr:uid="{886A81BF-737D-4ACC-A05E-646B3695BE75}">
          <x14:formula1>
            <xm:f>'DATA - Variabelen &amp; waarden'!$B$371:$B$373</xm:f>
          </x14:formula1>
          <xm:sqref>F130</xm:sqref>
        </x14:dataValidation>
        <x14:dataValidation type="list" allowBlank="1" showInputMessage="1" showErrorMessage="1" xr:uid="{FB06F622-FC34-4825-9FA6-5FD3C534C3FE}">
          <x14:formula1>
            <xm:f>'DATA - Variabelen &amp; waarden'!$D$370:$G$370</xm:f>
          </x14:formula1>
          <xm:sqref>G130</xm:sqref>
        </x14:dataValidation>
        <x14:dataValidation type="list" allowBlank="1" showInputMessage="1" showErrorMessage="1" xr:uid="{4F743A49-5223-43D5-887E-6C8355FE8A58}">
          <x14:formula1>
            <xm:f>'DATA - Variabelen &amp; waarden'!$D$382:$G$382</xm:f>
          </x14:formula1>
          <xm:sqref>M100</xm:sqref>
        </x14:dataValidation>
        <x14:dataValidation type="list" allowBlank="1" showInputMessage="1" showErrorMessage="1" xr:uid="{B39E7F19-113D-411D-A1AB-46CA20277731}">
          <x14:formula1>
            <xm:f>'DATA - Variabelen &amp; waarden'!$B$393:$B$394</xm:f>
          </x14:formula1>
          <xm:sqref>M89</xm:sqref>
        </x14:dataValidation>
        <x14:dataValidation type="list" allowBlank="1" showInputMessage="1" showErrorMessage="1" xr:uid="{91775F48-8FD6-4F17-8B98-E3EA25B93BB1}">
          <x14:formula1>
            <xm:f>'DATA - Variabelen &amp; waarden'!$B$341:$B$346</xm:f>
          </x14:formula1>
          <xm:sqref>F109</xm:sqref>
        </x14:dataValidation>
        <x14:dataValidation type="list" allowBlank="1" showInputMessage="1" showErrorMessage="1" xr:uid="{C1A1ACB9-3962-4FA7-A582-ED971EF84888}">
          <x14:formula1>
            <xm:f>'DATA - Variabelen &amp; waarden'!$D$414:$G$414</xm:f>
          </x14:formula1>
          <xm:sqref>M103</xm:sqref>
        </x14:dataValidation>
        <x14:dataValidation type="list" allowBlank="1" showInputMessage="1" showErrorMessage="1" xr:uid="{DF8F1426-0D82-4468-B16D-E66349A3875E}">
          <x14:formula1>
            <xm:f>'DATA - Variabelen &amp; waarden'!$D$298:$G$298</xm:f>
          </x14:formula1>
          <xm:sqref>G102 G105</xm:sqref>
        </x14:dataValidation>
        <x14:dataValidation type="list" allowBlank="1" showInputMessage="1" showErrorMessage="1" xr:uid="{013291C0-2579-4249-8AFC-B1A059DDB0A7}">
          <x14:formula1>
            <xm:f>'DATA - Variabelen &amp; waarden'!$D$323:$G$323</xm:f>
          </x14:formula1>
          <xm:sqref>G119 G122</xm:sqref>
        </x14:dataValidation>
        <x14:dataValidation type="list" allowBlank="1" showInputMessage="1" showErrorMessage="1" xr:uid="{4BCEE670-7810-4C38-A104-BBBD1C8E979B}">
          <x14:formula1>
            <xm:f>'DATA - Variabelen &amp; waarden'!$B$364:$B$368</xm:f>
          </x14:formula1>
          <xm:sqref>F126</xm:sqref>
        </x14:dataValidation>
        <x14:dataValidation type="list" allowBlank="1" showInputMessage="1" showErrorMessage="1" xr:uid="{D23663C8-0E7F-44E6-B922-DA0D5650B08E}">
          <x14:formula1>
            <xm:f>'DATA - Variabelen &amp; waarden'!$B$376:$B$380</xm:f>
          </x14:formula1>
          <xm:sqref>F128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D26A-68FF-4748-890F-506633E5886A}">
  <sheetPr>
    <tabColor theme="9" tint="0.39997558519241921"/>
  </sheetPr>
  <dimension ref="B1:Z145"/>
  <sheetViews>
    <sheetView showGridLines="0" zoomScaleNormal="100" workbookViewId="0">
      <pane ySplit="2" topLeftCell="A51" activePane="bottomLeft" state="frozen"/>
      <selection pane="bottomLeft" activeCell="G94" sqref="G94"/>
    </sheetView>
  </sheetViews>
  <sheetFormatPr defaultColWidth="11" defaultRowHeight="15.5"/>
  <cols>
    <col min="1" max="1" width="3" customWidth="1"/>
    <col min="2" max="2" width="35.9140625" customWidth="1"/>
    <col min="3" max="3" width="13.4140625" customWidth="1"/>
    <col min="4" max="4" width="10.9140625" customWidth="1"/>
    <col min="5" max="5" width="3" customWidth="1"/>
    <col min="6" max="6" width="34.9140625" customWidth="1"/>
    <col min="7" max="7" width="13.4140625" customWidth="1"/>
    <col min="8" max="8" width="10.9140625" customWidth="1"/>
    <col min="9" max="9" width="10.9140625" style="3" customWidth="1"/>
    <col min="10" max="10" width="10.9140625" customWidth="1"/>
    <col min="11" max="11" width="3" customWidth="1"/>
    <col min="12" max="12" width="32.9140625" customWidth="1"/>
    <col min="13" max="13" width="13.4140625" customWidth="1"/>
    <col min="14" max="14" width="12.58203125" customWidth="1"/>
    <col min="15" max="15" width="13.4140625" customWidth="1"/>
    <col min="16" max="16" width="10.9140625" customWidth="1"/>
    <col min="17" max="17" width="3" customWidth="1"/>
    <col min="18" max="18" width="12.58203125" customWidth="1"/>
    <col min="19" max="19" width="13.4140625" customWidth="1"/>
    <col min="20" max="20" width="10.9140625" customWidth="1"/>
    <col min="21" max="21" width="3" customWidth="1"/>
    <col min="22" max="22" width="32.9140625" customWidth="1"/>
    <col min="23" max="23" width="13.4140625" customWidth="1"/>
    <col min="24" max="24" width="12.58203125" customWidth="1"/>
    <col min="25" max="25" width="13.4140625" customWidth="1"/>
    <col min="27" max="27" width="3" customWidth="1"/>
    <col min="28" max="28" width="32.9140625" customWidth="1"/>
    <col min="29" max="29" width="13.4140625" customWidth="1"/>
    <col min="30" max="30" width="12.58203125" customWidth="1"/>
    <col min="31" max="31" width="13.4140625" customWidth="1"/>
    <col min="32" max="32" width="10.9140625" customWidth="1"/>
    <col min="33" max="33" width="3" customWidth="1"/>
    <col min="34" max="34" width="13.4140625" customWidth="1"/>
    <col min="39" max="39" width="10.9140625" customWidth="1"/>
    <col min="40" max="40" width="3" customWidth="1"/>
    <col min="41" max="42" width="28.9140625" customWidth="1"/>
    <col min="43" max="43" width="13.4140625" customWidth="1"/>
  </cols>
  <sheetData>
    <row r="1" spans="2:26">
      <c r="D1" s="35"/>
      <c r="I1"/>
    </row>
    <row r="2" spans="2:26" ht="18.5">
      <c r="B2" s="66" t="s">
        <v>85</v>
      </c>
      <c r="C2" s="69"/>
      <c r="D2" s="70"/>
      <c r="E2" s="69"/>
      <c r="F2" s="71"/>
      <c r="G2" s="69"/>
      <c r="H2" s="69"/>
      <c r="I2" s="71"/>
      <c r="J2" s="69"/>
      <c r="K2" s="69"/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2:26">
      <c r="D3" s="72"/>
      <c r="F3" s="4"/>
      <c r="I3" s="4"/>
      <c r="L3" s="4"/>
    </row>
    <row r="4" spans="2:26">
      <c r="B4" s="61" t="s">
        <v>86</v>
      </c>
      <c r="C4" s="218"/>
      <c r="D4" s="60"/>
      <c r="F4" s="4"/>
      <c r="I4" s="4"/>
      <c r="L4" s="4"/>
    </row>
    <row r="5" spans="2:26">
      <c r="B5" s="81"/>
      <c r="C5" s="226"/>
      <c r="D5" s="56"/>
      <c r="F5" s="4"/>
      <c r="I5" s="4"/>
      <c r="L5" s="4"/>
    </row>
    <row r="6" spans="2:26">
      <c r="B6" s="230" t="s">
        <v>87</v>
      </c>
      <c r="C6" s="228">
        <f>SUM(C7,C10)</f>
        <v>4662.91</v>
      </c>
      <c r="D6" s="56" t="s">
        <v>88</v>
      </c>
      <c r="F6" s="4"/>
      <c r="I6" s="4"/>
      <c r="L6" s="4"/>
    </row>
    <row r="7" spans="2:26">
      <c r="B7" s="76" t="s">
        <v>89</v>
      </c>
      <c r="C7" s="46">
        <f>SUM(C8:C9)</f>
        <v>4400</v>
      </c>
      <c r="D7" s="56"/>
      <c r="F7" s="4"/>
      <c r="I7" s="4"/>
      <c r="L7" s="4"/>
    </row>
    <row r="8" spans="2:26">
      <c r="B8" s="231" t="str">
        <f>B95</f>
        <v>Rietvezel</v>
      </c>
      <c r="C8" s="42">
        <f>C95</f>
        <v>0</v>
      </c>
      <c r="D8" s="56"/>
      <c r="F8" s="4"/>
      <c r="I8" s="4"/>
      <c r="L8" s="4"/>
    </row>
    <row r="9" spans="2:26">
      <c r="B9" s="231" t="str">
        <f>B96</f>
        <v>Bosjes rietdak</v>
      </c>
      <c r="C9" s="42">
        <f>C96</f>
        <v>4400</v>
      </c>
      <c r="D9" s="56"/>
      <c r="F9" s="4"/>
      <c r="I9" s="4"/>
      <c r="L9" s="4"/>
    </row>
    <row r="10" spans="2:26">
      <c r="B10" s="143" t="s">
        <v>90</v>
      </c>
      <c r="C10" s="46">
        <f>SUM(C11:C12)</f>
        <v>262.91000000000003</v>
      </c>
      <c r="D10" s="56" t="s">
        <v>88</v>
      </c>
      <c r="F10" s="4"/>
      <c r="I10" s="4"/>
      <c r="L10" s="4"/>
    </row>
    <row r="11" spans="2:26">
      <c r="B11" s="231" t="s">
        <v>91</v>
      </c>
      <c r="C11" s="227">
        <v>262.91000000000003</v>
      </c>
      <c r="D11" s="56"/>
      <c r="F11" s="4"/>
      <c r="I11" s="4"/>
      <c r="L11" s="4"/>
    </row>
    <row r="12" spans="2:26">
      <c r="B12" s="231" t="s">
        <v>92</v>
      </c>
      <c r="C12" s="126"/>
      <c r="D12" s="56"/>
      <c r="F12" s="4"/>
      <c r="I12" s="4"/>
      <c r="L12" s="4"/>
    </row>
    <row r="13" spans="2:26">
      <c r="B13" s="81"/>
      <c r="C13" s="226"/>
      <c r="D13" s="56"/>
      <c r="F13" s="4"/>
      <c r="I13" s="4"/>
      <c r="L13" s="4"/>
    </row>
    <row r="14" spans="2:26">
      <c r="B14" s="230" t="s">
        <v>81</v>
      </c>
      <c r="C14" s="228">
        <f>SUM(C15:C20)</f>
        <v>1906</v>
      </c>
      <c r="D14" s="56" t="s">
        <v>88</v>
      </c>
      <c r="F14" s="4"/>
      <c r="I14" s="4"/>
      <c r="L14" s="4"/>
    </row>
    <row r="15" spans="2:26">
      <c r="B15" s="231" t="str">
        <f t="shared" ref="B15:C19" si="0">B43</f>
        <v>Grondgebruik</v>
      </c>
      <c r="C15" s="43">
        <f t="shared" si="0"/>
        <v>486</v>
      </c>
      <c r="D15" s="111"/>
      <c r="F15" s="4"/>
      <c r="I15" s="4"/>
      <c r="L15" s="4"/>
    </row>
    <row r="16" spans="2:26">
      <c r="B16" s="231" t="str">
        <f t="shared" si="0"/>
        <v>Gewasverzorging</v>
      </c>
      <c r="C16" s="43">
        <f t="shared" si="0"/>
        <v>460</v>
      </c>
      <c r="D16" s="56"/>
      <c r="F16" s="4"/>
      <c r="I16" s="4"/>
      <c r="L16" s="4"/>
    </row>
    <row r="17" spans="2:12">
      <c r="B17" s="231" t="str">
        <f t="shared" si="0"/>
        <v>Energieverbruik en water</v>
      </c>
      <c r="C17" s="43">
        <f t="shared" si="0"/>
        <v>0</v>
      </c>
      <c r="D17" s="56"/>
      <c r="F17" s="4"/>
      <c r="I17" s="4"/>
      <c r="L17" s="4"/>
    </row>
    <row r="18" spans="2:12">
      <c r="B18" s="231" t="str">
        <f t="shared" si="0"/>
        <v>Belastingen en verzekeringen</v>
      </c>
      <c r="C18" s="43">
        <f t="shared" si="0"/>
        <v>175</v>
      </c>
      <c r="D18" s="56"/>
      <c r="F18" s="4"/>
      <c r="I18" s="4"/>
      <c r="L18" s="4"/>
    </row>
    <row r="19" spans="2:12">
      <c r="B19" s="231" t="str">
        <f t="shared" si="0"/>
        <v>Onderhoud</v>
      </c>
      <c r="C19" s="43">
        <f t="shared" si="0"/>
        <v>25</v>
      </c>
      <c r="D19" s="56"/>
      <c r="F19" s="4"/>
      <c r="I19" s="4"/>
      <c r="L19" s="4"/>
    </row>
    <row r="20" spans="2:12">
      <c r="B20" s="231" t="s">
        <v>93</v>
      </c>
      <c r="C20" s="43">
        <f>C104</f>
        <v>760</v>
      </c>
      <c r="D20" s="56"/>
      <c r="F20" s="4"/>
      <c r="I20" s="4"/>
      <c r="L20" s="4"/>
    </row>
    <row r="21" spans="2:12">
      <c r="B21" s="55"/>
      <c r="C21" s="103"/>
      <c r="D21" s="56"/>
      <c r="F21" s="4"/>
      <c r="I21" s="4"/>
      <c r="L21" s="4"/>
    </row>
    <row r="22" spans="2:12">
      <c r="B22" s="230" t="s">
        <v>82</v>
      </c>
      <c r="C22" s="228">
        <f>C6-C14</f>
        <v>2756.91</v>
      </c>
      <c r="D22" s="56" t="s">
        <v>88</v>
      </c>
      <c r="F22" s="4"/>
      <c r="I22" s="4"/>
      <c r="L22" s="4"/>
    </row>
    <row r="23" spans="2:12">
      <c r="B23" s="55"/>
      <c r="C23" s="103"/>
      <c r="D23" s="56"/>
      <c r="F23" s="4"/>
      <c r="I23" s="4"/>
      <c r="L23" s="4"/>
    </row>
    <row r="24" spans="2:12">
      <c r="B24" s="230" t="s">
        <v>83</v>
      </c>
      <c r="C24" s="228">
        <f>SUM(C25:C31)</f>
        <v>728.82940576393366</v>
      </c>
      <c r="D24" s="56" t="s">
        <v>88</v>
      </c>
      <c r="F24" s="4"/>
      <c r="I24" s="4"/>
      <c r="L24" s="4"/>
    </row>
    <row r="25" spans="2:12">
      <c r="B25" s="231" t="str">
        <f>B48</f>
        <v>Afschrijving &amp; aflossing teeltinvesteringen</v>
      </c>
      <c r="C25" s="42">
        <f>C48</f>
        <v>728.82940576393366</v>
      </c>
      <c r="D25" s="56"/>
      <c r="F25" s="4"/>
      <c r="I25" s="4"/>
      <c r="L25" s="4"/>
    </row>
    <row r="26" spans="2:12">
      <c r="B26" s="231" t="s">
        <v>94</v>
      </c>
      <c r="C26" s="126"/>
      <c r="D26" s="56"/>
      <c r="F26" s="4"/>
      <c r="I26" s="4"/>
      <c r="L26" s="4"/>
    </row>
    <row r="27" spans="2:12">
      <c r="B27" s="231" t="s">
        <v>95</v>
      </c>
      <c r="C27" s="126"/>
      <c r="D27" s="56"/>
      <c r="F27" s="4"/>
      <c r="I27" s="4"/>
      <c r="L27" s="4"/>
    </row>
    <row r="28" spans="2:12">
      <c r="B28" s="231" t="s">
        <v>96</v>
      </c>
      <c r="C28" s="126"/>
      <c r="D28" s="56"/>
      <c r="F28" s="4"/>
      <c r="I28" s="4"/>
      <c r="L28" s="4"/>
    </row>
    <row r="29" spans="2:12">
      <c r="B29" s="231" t="s">
        <v>97</v>
      </c>
      <c r="C29" s="126"/>
      <c r="D29" s="56"/>
      <c r="F29" s="4"/>
      <c r="I29" s="4"/>
      <c r="L29" s="4"/>
    </row>
    <row r="30" spans="2:12">
      <c r="B30" s="231" t="s">
        <v>98</v>
      </c>
      <c r="C30" s="126"/>
      <c r="D30" s="56"/>
      <c r="F30" s="4"/>
      <c r="I30" s="4"/>
      <c r="L30" s="4"/>
    </row>
    <row r="31" spans="2:12">
      <c r="B31" s="231" t="s">
        <v>99</v>
      </c>
      <c r="C31" s="126"/>
      <c r="D31" s="56"/>
      <c r="F31" s="4"/>
      <c r="I31" s="4"/>
      <c r="L31" s="4"/>
    </row>
    <row r="32" spans="2:12">
      <c r="B32" s="55"/>
      <c r="C32" s="43"/>
      <c r="D32" s="56"/>
      <c r="F32" s="4"/>
      <c r="I32" s="4"/>
      <c r="L32" s="4"/>
    </row>
    <row r="33" spans="2:26">
      <c r="B33" s="230" t="s">
        <v>100</v>
      </c>
      <c r="C33" s="228">
        <f>C22-C24</f>
        <v>2028.0805942360662</v>
      </c>
      <c r="D33" s="56" t="s">
        <v>101</v>
      </c>
      <c r="F33" s="4"/>
      <c r="I33" s="4"/>
      <c r="L33" s="4"/>
    </row>
    <row r="34" spans="2:26">
      <c r="B34" s="57"/>
      <c r="C34" s="229"/>
      <c r="D34" s="58"/>
      <c r="F34" s="4"/>
      <c r="I34" s="4"/>
      <c r="L34" s="4"/>
    </row>
    <row r="35" spans="2:26">
      <c r="D35" s="72"/>
      <c r="F35" s="4"/>
      <c r="I35" s="4"/>
      <c r="L35" s="4"/>
    </row>
    <row r="36" spans="2:26" ht="18.5">
      <c r="B36" s="154" t="s">
        <v>102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2:26">
      <c r="I37" s="106"/>
    </row>
    <row r="38" spans="2:26" s="75" customFormat="1" ht="17">
      <c r="B38" s="74" t="s">
        <v>103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40" spans="2:26">
      <c r="B40" s="61" t="s">
        <v>104</v>
      </c>
      <c r="C40" s="218" t="str">
        <f>F65</f>
        <v>Riet</v>
      </c>
      <c r="D40" s="60"/>
      <c r="F40" s="61" t="s">
        <v>105</v>
      </c>
      <c r="G40" s="105"/>
      <c r="H40" s="105"/>
      <c r="I40" s="110"/>
      <c r="J40" s="60"/>
      <c r="L40" s="61" t="s">
        <v>106</v>
      </c>
      <c r="M40" s="105"/>
      <c r="N40" s="105"/>
      <c r="O40" s="105"/>
      <c r="P40" s="60"/>
    </row>
    <row r="41" spans="2:26">
      <c r="B41" s="55"/>
      <c r="C41" s="103"/>
      <c r="D41" s="56"/>
      <c r="F41" s="76" t="s">
        <v>107</v>
      </c>
      <c r="G41" s="103"/>
      <c r="H41" s="103"/>
      <c r="I41" s="73"/>
      <c r="J41" s="56"/>
      <c r="L41" s="81"/>
      <c r="M41" s="103"/>
      <c r="N41" s="103"/>
      <c r="O41" s="103"/>
      <c r="P41" s="56"/>
    </row>
    <row r="42" spans="2:26" ht="16" thickBot="1">
      <c r="B42" s="76" t="s">
        <v>108</v>
      </c>
      <c r="C42" s="340" t="s">
        <v>109</v>
      </c>
      <c r="D42" s="341"/>
      <c r="F42" s="149" t="s">
        <v>110</v>
      </c>
      <c r="G42" s="103"/>
      <c r="H42" s="64" t="s">
        <v>111</v>
      </c>
      <c r="I42" s="43"/>
      <c r="J42" s="56"/>
      <c r="L42" s="163" t="str" cm="1">
        <f t="array" ref="L42:L58">CultCost01[[#All],[Gewasverzorging]]</f>
        <v>Gewasverzorging</v>
      </c>
      <c r="M42" s="63" t="s">
        <v>112</v>
      </c>
      <c r="N42" s="64" t="s">
        <v>111</v>
      </c>
      <c r="O42" s="46">
        <f>SUM(O43:O47,O50,O55,O58)</f>
        <v>460</v>
      </c>
      <c r="P42" s="111" t="s">
        <v>88</v>
      </c>
    </row>
    <row r="43" spans="2:26" ht="16.5" thickTop="1" thickBot="1">
      <c r="B43" s="55" t="str">
        <f>F41</f>
        <v>Grondgebruik</v>
      </c>
      <c r="C43" s="42">
        <f>I43</f>
        <v>486</v>
      </c>
      <c r="D43" s="56" t="s">
        <v>88</v>
      </c>
      <c r="F43" s="62" t="s">
        <v>113</v>
      </c>
      <c r="G43" s="103"/>
      <c r="H43" s="126"/>
      <c r="I43" s="41">
        <f>IF(ISBLANK(H43),_xlfn.XLOOKUP(F43,PachtPrijs[Pachtprijs - per regio],PachtPrijs[Regionorm 2020]),H43)</f>
        <v>486</v>
      </c>
      <c r="J43" s="111" t="s">
        <v>88</v>
      </c>
      <c r="L43" s="55" t="str">
        <v>Meststoffen</v>
      </c>
      <c r="M43" s="49" t="s">
        <v>114</v>
      </c>
      <c r="N43" s="45"/>
      <c r="O43" s="107" cm="1">
        <f t="array" ref="O43">IF(ISBLANK(N43),INDEX(CultCost01[[#All],[Geen]:[Waarde MIN]],_xlfn.XMATCH(Riet!L43,CultCost01[[#All],[Gewasverzorging]]),_xlfn.XMATCH(Riet!M43,CultCost01[[#Headers],[Geen]:[Waarde MIN]])),N43)</f>
        <v>0</v>
      </c>
      <c r="P43" s="56" t="s">
        <v>88</v>
      </c>
    </row>
    <row r="44" spans="2:26" ht="16.5" thickTop="1" thickBot="1">
      <c r="B44" s="55" t="str">
        <f>L42</f>
        <v>Gewasverzorging</v>
      </c>
      <c r="C44" s="42">
        <f>O42</f>
        <v>460</v>
      </c>
      <c r="D44" s="56" t="s">
        <v>88</v>
      </c>
      <c r="F44" s="55"/>
      <c r="G44" s="103"/>
      <c r="H44" s="103"/>
      <c r="I44" s="43"/>
      <c r="J44" s="56"/>
      <c r="L44" s="55" t="str">
        <v>Gewasbeschermingsmiddelen</v>
      </c>
      <c r="M44" s="49" t="s">
        <v>114</v>
      </c>
      <c r="N44" s="45"/>
      <c r="O44" s="107" cm="1">
        <f t="array" ref="O44">IF(ISBLANK(N44),INDEX(CultCost01[[#All],[Geen]:[Waarde MIN]],_xlfn.XMATCH(Riet!L44,CultCost01[[#All],[Gewasverzorging]]),_xlfn.XMATCH(Riet!M44,CultCost01[[#Headers],[Geen]:[Waarde MIN]])),N44)</f>
        <v>0</v>
      </c>
      <c r="P44" s="56" t="s">
        <v>88</v>
      </c>
    </row>
    <row r="45" spans="2:26" ht="16.5" thickTop="1" thickBot="1">
      <c r="B45" s="55" t="str">
        <f>L60</f>
        <v>Energieverbruik en water</v>
      </c>
      <c r="C45" s="42">
        <f>O60</f>
        <v>0</v>
      </c>
      <c r="D45" s="56" t="s">
        <v>88</v>
      </c>
      <c r="F45" s="76" t="s">
        <v>115</v>
      </c>
      <c r="G45" s="63" t="s">
        <v>112</v>
      </c>
      <c r="H45" s="64" t="s">
        <v>111</v>
      </c>
      <c r="I45" s="46">
        <f>SUM(I48,I51,I54,I57,I58,I59,I60,I61,I62)</f>
        <v>400</v>
      </c>
      <c r="J45" s="111" t="s">
        <v>88</v>
      </c>
      <c r="L45" s="114" t="str">
        <v>Ongediertebestrijding - uren</v>
      </c>
      <c r="M45" s="49" t="s">
        <v>79</v>
      </c>
      <c r="N45" s="45"/>
      <c r="O45" s="169" cm="1">
        <f t="array" ref="O45">IF(ISBLANK(N45),INDEX(CultCost01[[#All],[Geen]:[Waarde MIN]],_xlfn.XMATCH(Riet!L45,CultCost01[[#All],[Gewasverzorging]]),_xlfn.XMATCH(Riet!M45,CultCost01[[#Headers],[Geen]:[Waarde MIN]])),N45)</f>
        <v>5</v>
      </c>
      <c r="P45" s="116" t="s">
        <v>116</v>
      </c>
    </row>
    <row r="46" spans="2:26" ht="16.5" thickTop="1" thickBot="1">
      <c r="B46" s="55" t="str">
        <f>L65</f>
        <v>Belastingen en verzekeringen</v>
      </c>
      <c r="C46" s="42">
        <f>O65</f>
        <v>175</v>
      </c>
      <c r="D46" s="56" t="s">
        <v>88</v>
      </c>
      <c r="F46" s="114" t="str" cm="1">
        <f t="array" ref="F46:F62">CultInvest01[Teelt - Investeringen perceel]</f>
        <v>Grondverzet - uren per hectare</v>
      </c>
      <c r="G46" s="49" t="s">
        <v>114</v>
      </c>
      <c r="H46" s="45"/>
      <c r="I46" s="108" cm="1">
        <f t="array" ref="I46">IF(ISBLANK(H46),INDEX(CultInvest01[[#All],[Geen]:[Waarde MIN]],_xlfn.XMATCH(Riet!F46,CultInvest01[[#All],[Teelt - Investeringen perceel]]),_xlfn.XMATCH(Riet!G46,CultInvest01[[#Headers],[Geen]:[Waarde MIN]])),H46)</f>
        <v>0</v>
      </c>
      <c r="J46" s="109" t="s">
        <v>116</v>
      </c>
      <c r="L46" s="114" t="str">
        <v>Ongediertebestrijding - tarief</v>
      </c>
      <c r="M46" s="49" t="s">
        <v>79</v>
      </c>
      <c r="N46" s="45"/>
      <c r="O46" s="115" cm="1">
        <f t="array" ref="O46">IF(ISBLANK(N46),INDEX(CultCost01[[#All],[Geen]:[Waarde MIN]],_xlfn.XMATCH(Riet!L46,CultCost01[[#All],[Gewasverzorging]]),_xlfn.XMATCH(Riet!M46,CultCost01[[#Headers],[Geen]:[Waarde MIN]])),N46)</f>
        <v>25</v>
      </c>
      <c r="P46" s="116" t="s">
        <v>117</v>
      </c>
    </row>
    <row r="47" spans="2:26" ht="16.5" thickTop="1" thickBot="1">
      <c r="B47" s="55" t="str">
        <f>L69</f>
        <v>Onderhoud</v>
      </c>
      <c r="C47" s="42">
        <f>O69</f>
        <v>25</v>
      </c>
      <c r="D47" s="56" t="s">
        <v>88</v>
      </c>
      <c r="F47" s="114" t="str">
        <v>Grondverzet - prijs per uur</v>
      </c>
      <c r="G47" s="49" t="s">
        <v>79</v>
      </c>
      <c r="H47" s="45"/>
      <c r="I47" s="108" cm="1">
        <f t="array" ref="I47">IF(ISBLANK(H47),INDEX(CultInvest01[[#All],[Geen]:[Waarde MIN]],_xlfn.XMATCH(Riet!F47,CultInvest01[[#All],[Teelt - Investeringen perceel]]),_xlfn.XMATCH(Riet!G47,CultInvest01[[#Headers],[Geen]:[Waarde MIN]])),H47)</f>
        <v>95</v>
      </c>
      <c r="J47" s="109" t="s">
        <v>117</v>
      </c>
      <c r="L47" s="55" t="str">
        <v>Ongediertebestrijding</v>
      </c>
      <c r="M47" s="42">
        <f>O45*O46</f>
        <v>125</v>
      </c>
      <c r="N47" s="45"/>
      <c r="O47" s="107">
        <f>IF(ISBLANK(N47),M47,N47)</f>
        <v>125</v>
      </c>
      <c r="P47" s="56" t="s">
        <v>88</v>
      </c>
    </row>
    <row r="48" spans="2:26" ht="16.5" thickTop="1" thickBot="1">
      <c r="B48" s="219" t="str">
        <f>L78</f>
        <v>Afschrijving &amp; aflossing teeltinvesteringen</v>
      </c>
      <c r="C48" s="40">
        <f>O78</f>
        <v>728.82940576393366</v>
      </c>
      <c r="D48" s="220" t="s">
        <v>88</v>
      </c>
      <c r="F48" s="55" t="str">
        <v>Grondverzet - totaal</v>
      </c>
      <c r="G48" s="42">
        <f>I46*I47</f>
        <v>0</v>
      </c>
      <c r="H48" s="45"/>
      <c r="I48" s="107">
        <f>IF(ISBLANK(H48),G48,H48)</f>
        <v>0</v>
      </c>
      <c r="J48" s="56" t="s">
        <v>88</v>
      </c>
      <c r="L48" s="114" t="str">
        <v>Dijkbeheer &amp; slootonderhoud - uren</v>
      </c>
      <c r="M48" s="49" t="s">
        <v>79</v>
      </c>
      <c r="N48" s="45"/>
      <c r="O48" s="169" cm="1">
        <f t="array" ref="O48">IF(ISBLANK(N48),INDEX(CultCost01[[#All],[Geen]:[Waarde MIN]],_xlfn.XMATCH(Riet!L48,CultCost01[[#All],[Gewasverzorging]]),_xlfn.XMATCH(Riet!M48,CultCost01[[#Headers],[Geen]:[Waarde MIN]])),N48)</f>
        <v>2.2000000000000002</v>
      </c>
      <c r="P48" s="116" t="s">
        <v>116</v>
      </c>
    </row>
    <row r="49" spans="2:16" ht="16.5" thickTop="1" thickBot="1">
      <c r="B49" s="76" t="s">
        <v>118</v>
      </c>
      <c r="C49" s="46">
        <f>SUM(C43:C48)</f>
        <v>1874.8294057639337</v>
      </c>
      <c r="D49" s="111" t="s">
        <v>88</v>
      </c>
      <c r="F49" s="114" t="str">
        <v>Grondtoevoer - kuub per hectare</v>
      </c>
      <c r="G49" s="49" t="s">
        <v>114</v>
      </c>
      <c r="H49" s="45"/>
      <c r="I49" s="108" cm="1">
        <f t="array" ref="I49">IF(ISBLANK(H49),INDEX(CultInvest01[[#All],[Geen]:[Waarde MIN]],_xlfn.XMATCH(Riet!F49,CultInvest01[[#All],[Teelt - Investeringen perceel]]),_xlfn.XMATCH(Riet!G49,CultInvest01[[#Headers],[Geen]:[Waarde MIN]])),H49)</f>
        <v>0</v>
      </c>
      <c r="J49" s="112" t="s">
        <v>119</v>
      </c>
      <c r="L49" s="114" t="str">
        <v>Dijkbeheer &amp; slootonderhoud - tarief</v>
      </c>
      <c r="M49" s="49" t="s">
        <v>79</v>
      </c>
      <c r="N49" s="45"/>
      <c r="O49" s="115" cm="1">
        <f t="array" ref="O49">IF(ISBLANK(N49),INDEX(CultCost01[[#All],[Geen]:[Waarde MIN]],_xlfn.XMATCH(Riet!L49,CultCost01[[#All],[Gewasverzorging]]),_xlfn.XMATCH(Riet!M49,CultCost01[[#Headers],[Geen]:[Waarde MIN]])),N49)</f>
        <v>25</v>
      </c>
      <c r="P49" s="116" t="s">
        <v>117</v>
      </c>
    </row>
    <row r="50" spans="2:16" ht="16.5" thickTop="1" thickBot="1">
      <c r="B50" s="55"/>
      <c r="C50" s="103"/>
      <c r="D50" s="56"/>
      <c r="F50" s="114" t="str">
        <v>Grondtoevoer - prijs per kuub</v>
      </c>
      <c r="G50" s="49" t="s">
        <v>79</v>
      </c>
      <c r="H50" s="45"/>
      <c r="I50" s="108" cm="1">
        <f t="array" ref="I50">IF(ISBLANK(H50),INDEX(CultInvest01[[#All],[Geen]:[Waarde MIN]],_xlfn.XMATCH(Riet!F50,CultInvest01[[#All],[Teelt - Investeringen perceel]]),_xlfn.XMATCH(Riet!G50,CultInvest01[[#Headers],[Geen]:[Waarde MIN]])),H50)</f>
        <v>3</v>
      </c>
      <c r="J50" s="112" t="s">
        <v>120</v>
      </c>
      <c r="L50" s="55" t="str">
        <v>Dijkbeheer &amp; slootonderhoud</v>
      </c>
      <c r="M50" s="42">
        <f>O48*O49</f>
        <v>55.000000000000007</v>
      </c>
      <c r="N50" s="45"/>
      <c r="O50" s="107">
        <f>IF(ISBLANK(N50),M50,N50)</f>
        <v>55.000000000000007</v>
      </c>
      <c r="P50" s="56" t="s">
        <v>88</v>
      </c>
    </row>
    <row r="51" spans="2:16" ht="16.5" thickTop="1" thickBot="1">
      <c r="B51" s="76" t="s">
        <v>121</v>
      </c>
      <c r="C51" s="340" t="s">
        <v>109</v>
      </c>
      <c r="D51" s="341"/>
      <c r="F51" s="55" t="str">
        <v>Grondtoevoer - totaal</v>
      </c>
      <c r="G51" s="42">
        <f>I49*I50</f>
        <v>0</v>
      </c>
      <c r="H51" s="45"/>
      <c r="I51" s="107">
        <f>IF(ISBLANK(H51),G51,H51)</f>
        <v>0</v>
      </c>
      <c r="J51" s="56" t="s">
        <v>88</v>
      </c>
      <c r="L51" s="114" t="str">
        <v>Gewasverzorging - uren medewerker</v>
      </c>
      <c r="M51" s="49" t="s">
        <v>79</v>
      </c>
      <c r="N51" s="45"/>
      <c r="O51" s="108" cm="1">
        <f t="array" ref="O51">IF(ISBLANK(N51),INDEX(CultCost01[[#All],[Geen]:[Waarde MIN]],_xlfn.XMATCH(Riet!L51,CultCost01[[#All],[Gewasverzorging]]),_xlfn.XMATCH(Riet!M51,CultCost01[[#Headers],[Geen]:[Waarde MIN]])),N51)</f>
        <v>10</v>
      </c>
      <c r="P51" s="112" t="s">
        <v>116</v>
      </c>
    </row>
    <row r="52" spans="2:16" ht="16.5" thickTop="1" thickBot="1">
      <c r="B52" s="55" t="s">
        <v>122</v>
      </c>
      <c r="C52" s="42">
        <f>I45</f>
        <v>400</v>
      </c>
      <c r="D52" s="56" t="s">
        <v>88</v>
      </c>
      <c r="F52" s="114" t="str">
        <v>Watertoevoer - meter leiding per hectare</v>
      </c>
      <c r="G52" s="49" t="s">
        <v>114</v>
      </c>
      <c r="H52" s="45"/>
      <c r="I52" s="108" cm="1">
        <f t="array" ref="I52">IF(ISBLANK(H52),INDEX(CultInvest01[[#All],[Geen]:[Waarde MIN]],_xlfn.XMATCH(Riet!F52,CultInvest01[[#All],[Teelt - Investeringen perceel]]),_xlfn.XMATCH(Riet!G52,CultInvest01[[#Headers],[Geen]:[Waarde MIN]])),H52)</f>
        <v>0</v>
      </c>
      <c r="J52" s="112" t="s">
        <v>123</v>
      </c>
      <c r="L52" s="114" t="str">
        <v>Medewerker - tarief per uur</v>
      </c>
      <c r="M52" s="49" t="s">
        <v>79</v>
      </c>
      <c r="N52" s="45"/>
      <c r="O52" s="108" cm="1">
        <f t="array" ref="O52">IF(ISBLANK(N52),INDEX(CultCost01[[#All],[Geen]:[Waarde MIN]],_xlfn.XMATCH(Riet!L52,CultCost01[[#All],[Gewasverzorging]]),_xlfn.XMATCH(Riet!M52,CultCost01[[#Headers],[Geen]:[Waarde MIN]])),N52)</f>
        <v>25</v>
      </c>
      <c r="P52" s="112" t="s">
        <v>117</v>
      </c>
    </row>
    <row r="53" spans="2:16" ht="16.5" thickTop="1" thickBot="1">
      <c r="B53" s="77" t="s">
        <v>124</v>
      </c>
      <c r="C53" s="198">
        <f>I66</f>
        <v>7165</v>
      </c>
      <c r="D53" s="220" t="s">
        <v>88</v>
      </c>
      <c r="F53" s="114" t="str">
        <v>Watertoevoer - prijs per meter leiding</v>
      </c>
      <c r="G53" s="49" t="s">
        <v>79</v>
      </c>
      <c r="H53" s="45"/>
      <c r="I53" s="108" cm="1">
        <f t="array" ref="I53">IF(ISBLANK(H53),INDEX(CultInvest01[[#All],[Geen]:[Waarde MIN]],_xlfn.XMATCH(Riet!F53,CultInvest01[[#All],[Teelt - Investeringen perceel]]),_xlfn.XMATCH(Riet!G53,CultInvest01[[#Headers],[Geen]:[Waarde MIN]])),H53)</f>
        <v>10</v>
      </c>
      <c r="J53" s="112" t="s">
        <v>125</v>
      </c>
      <c r="L53" s="114" t="str">
        <v xml:space="preserve">Gewasverzorging - uren management </v>
      </c>
      <c r="M53" s="49" t="s">
        <v>79</v>
      </c>
      <c r="N53" s="45"/>
      <c r="O53" s="108" cm="1">
        <f t="array" ref="O53">IF(ISBLANK(N53),INDEX(CultCost01[[#All],[Geen]:[Waarde MIN]],_xlfn.XMATCH(Riet!L53,CultCost01[[#All],[Gewasverzorging]]),_xlfn.XMATCH(Riet!M53,CultCost01[[#Headers],[Geen]:[Waarde MIN]])),N53)</f>
        <v>1</v>
      </c>
      <c r="P53" s="112" t="s">
        <v>116</v>
      </c>
    </row>
    <row r="54" spans="2:16" ht="16.5" thickTop="1" thickBot="1">
      <c r="B54" s="78" t="s">
        <v>118</v>
      </c>
      <c r="C54" s="147">
        <f>SUM(C52:C53)</f>
        <v>7565</v>
      </c>
      <c r="D54" s="148" t="s">
        <v>88</v>
      </c>
      <c r="F54" s="125" t="str">
        <v>Watertoevoer - totaal</v>
      </c>
      <c r="G54" s="42">
        <f>I52*I53</f>
        <v>0</v>
      </c>
      <c r="H54" s="45"/>
      <c r="I54" s="107">
        <f>IF(ISBLANK(H54),G54,H54)</f>
        <v>0</v>
      </c>
      <c r="J54" s="56" t="s">
        <v>88</v>
      </c>
      <c r="L54" s="114" t="str">
        <v>Manager - tarief per uur</v>
      </c>
      <c r="M54" s="49" t="s">
        <v>114</v>
      </c>
      <c r="N54" s="45"/>
      <c r="O54" s="108" cm="1">
        <f t="array" ref="O54">IF(ISBLANK(N54),INDEX(CultCost01[[#All],[Geen]:[Waarde MIN]],_xlfn.XMATCH(Riet!L54,CultCost01[[#All],[Gewasverzorging]]),_xlfn.XMATCH(Riet!M54,CultCost01[[#Headers],[Geen]:[Waarde MIN]])),N54)</f>
        <v>0</v>
      </c>
      <c r="P54" s="112" t="s">
        <v>117</v>
      </c>
    </row>
    <row r="55" spans="2:16" ht="16.5" thickTop="1" thickBot="1">
      <c r="F55" s="114" t="str">
        <v>Waterafvoer - meter leiding per hectare</v>
      </c>
      <c r="G55" s="49" t="s">
        <v>114</v>
      </c>
      <c r="H55" s="45"/>
      <c r="I55" s="108" cm="1">
        <f t="array" ref="I55">IF(ISBLANK(H55),INDEX(CultInvest01[[#All],[Geen]:[Waarde MIN]],_xlfn.XMATCH(Riet!F55,CultInvest01[[#All],[Teelt - Investeringen perceel]]),_xlfn.XMATCH(Riet!G55,CultInvest01[[#Headers],[Geen]:[Waarde MIN]])),H55)</f>
        <v>0</v>
      </c>
      <c r="J55" s="112" t="s">
        <v>123</v>
      </c>
      <c r="L55" s="55" t="str">
        <v>Gewasverzorging - eigen arbeidsuren</v>
      </c>
      <c r="M55" s="42">
        <f>SUM(O51*O52,O53*O54)</f>
        <v>250</v>
      </c>
      <c r="N55" s="45"/>
      <c r="O55" s="107">
        <f>IF(ISBLANK(N55),M55,N55)</f>
        <v>250</v>
      </c>
      <c r="P55" s="56" t="s">
        <v>88</v>
      </c>
    </row>
    <row r="56" spans="2:16" ht="16.5" thickTop="1" thickBot="1">
      <c r="F56" s="114" t="str">
        <v>Waterafvoer - prijs per meter leiding</v>
      </c>
      <c r="G56" s="49" t="s">
        <v>79</v>
      </c>
      <c r="H56" s="45"/>
      <c r="I56" s="108" cm="1">
        <f t="array" ref="I56">IF(ISBLANK(H56),INDEX(CultInvest01[[#All],[Geen]:[Waarde MIN]],_xlfn.XMATCH(Riet!F56,CultInvest01[[#All],[Teelt - Investeringen perceel]]),_xlfn.XMATCH(Riet!G56,CultInvest01[[#Headers],[Geen]:[Waarde MIN]])),H56)</f>
        <v>10</v>
      </c>
      <c r="J56" s="112" t="s">
        <v>125</v>
      </c>
      <c r="L56" s="114" t="str">
        <v>Gewasverzorging - uren inhuur derden</v>
      </c>
      <c r="M56" s="49" t="s">
        <v>114</v>
      </c>
      <c r="N56" s="45"/>
      <c r="O56" s="108" cm="1">
        <f t="array" ref="O56">IF(ISBLANK(N56),INDEX(CultCost01[[#All],[Geen]:[Waarde MIN]],_xlfn.XMATCH(Riet!L56,CultCost01[[#All],[Gewasverzorging]]),_xlfn.XMATCH(Riet!M56,CultCost01[[#Headers],[Geen]:[Waarde MIN]])),N56)</f>
        <v>0</v>
      </c>
      <c r="P56" s="112" t="s">
        <v>116</v>
      </c>
    </row>
    <row r="57" spans="2:16" ht="16.5" thickTop="1" thickBot="1">
      <c r="F57" s="55" t="str">
        <v>Waterafvoer - totaal</v>
      </c>
      <c r="G57" s="42">
        <f>I55*I56</f>
        <v>0</v>
      </c>
      <c r="H57" s="45"/>
      <c r="I57" s="107">
        <f>IF(ISBLANK(H57),G57,H57)</f>
        <v>0</v>
      </c>
      <c r="J57" s="56" t="s">
        <v>88</v>
      </c>
      <c r="L57" s="114" t="str">
        <v>Gewasverzorging - tarief inhuur derden</v>
      </c>
      <c r="M57" s="49" t="s">
        <v>114</v>
      </c>
      <c r="N57" s="45"/>
      <c r="O57" s="108" cm="1">
        <f t="array" ref="O57">IF(ISBLANK(N57),INDEX(CultCost01[[#All],[Geen]:[Waarde MIN]],_xlfn.XMATCH(Riet!L57,CultCost01[[#All],[Gewasverzorging]]),_xlfn.XMATCH(Riet!M57,CultCost01[[#Headers],[Geen]:[Waarde MIN]])),N57)</f>
        <v>0</v>
      </c>
      <c r="P57" s="112" t="s">
        <v>117</v>
      </c>
    </row>
    <row r="58" spans="2:16" ht="16.5" thickTop="1" thickBot="1">
      <c r="F58" s="55" t="str">
        <v>Pompen - aanschaf incl. stroomvoorziening</v>
      </c>
      <c r="G58" s="49" t="s">
        <v>114</v>
      </c>
      <c r="H58" s="45"/>
      <c r="I58" s="107" cm="1">
        <f t="array" ref="I58">IF(ISBLANK(H58),INDEX(CultInvest01[[#All],[Geen]:[Waarde MIN]],_xlfn.XMATCH(Riet!F58,CultInvest01[[#All],[Teelt - Investeringen perceel]]),_xlfn.XMATCH(Riet!G58,CultInvest01[[#Headers],[Geen]:[Waarde MIN]])),H58)</f>
        <v>0</v>
      </c>
      <c r="J58" s="56" t="s">
        <v>88</v>
      </c>
      <c r="L58" s="55" t="str">
        <v>Gewasverzorging - inhuur derden</v>
      </c>
      <c r="M58" s="103">
        <f>O56*O57</f>
        <v>0</v>
      </c>
      <c r="N58" s="45"/>
      <c r="O58" s="107">
        <f>IF(ISBLANK(N58),M58,N58)</f>
        <v>0</v>
      </c>
      <c r="P58" s="56" t="s">
        <v>88</v>
      </c>
    </row>
    <row r="59" spans="2:16" ht="16.5" thickTop="1" thickBot="1">
      <c r="F59" s="55" t="str">
        <v>Waterpeilbeheersing (schuiven, slibkisten, etc.)</v>
      </c>
      <c r="G59" s="49" t="s">
        <v>114</v>
      </c>
      <c r="H59" s="45"/>
      <c r="I59" s="107" cm="1">
        <f t="array" ref="I59">IF(ISBLANK(H59),INDEX(CultInvest01[[#All],[Geen]:[Waarde MIN]],_xlfn.XMATCH(Riet!F59,CultInvest01[[#All],[Teelt - Investeringen perceel]]),_xlfn.XMATCH(Riet!G59,CultInvest01[[#Headers],[Geen]:[Waarde MIN]])),H59)</f>
        <v>0</v>
      </c>
      <c r="J59" s="56" t="s">
        <v>88</v>
      </c>
      <c r="L59" s="55"/>
      <c r="M59" s="103"/>
      <c r="N59" s="103"/>
      <c r="O59" s="103"/>
      <c r="P59" s="56"/>
    </row>
    <row r="60" spans="2:16" ht="16.5" thickTop="1" thickBot="1">
      <c r="F60" s="55" t="str">
        <v>Afrastering &amp; vraatbescherming</v>
      </c>
      <c r="G60" s="49" t="s">
        <v>126</v>
      </c>
      <c r="H60" s="45"/>
      <c r="I60" s="107" cm="1">
        <f t="array" ref="I60">IF(ISBLANK(H60),INDEX(CultInvest01[[#All],[Geen]:[Waarde MIN]],_xlfn.XMATCH(Riet!F60,CultInvest01[[#All],[Teelt - Investeringen perceel]]),_xlfn.XMATCH(Riet!G60,CultInvest01[[#Headers],[Geen]:[Waarde MIN]])),H60)</f>
        <v>250</v>
      </c>
      <c r="J60" s="56" t="s">
        <v>88</v>
      </c>
      <c r="L60" s="76" t="str" cm="1">
        <f t="array" ref="L60:L63">CultCost02[[#All],[Energieverbruik en water]]</f>
        <v>Energieverbruik en water</v>
      </c>
      <c r="M60" s="63" t="s">
        <v>112</v>
      </c>
      <c r="N60" s="64" t="s">
        <v>111</v>
      </c>
      <c r="O60" s="46">
        <f>SUM(O61:O63)</f>
        <v>0</v>
      </c>
      <c r="P60" s="111" t="s">
        <v>88</v>
      </c>
    </row>
    <row r="61" spans="2:16" ht="16.5" thickTop="1" thickBot="1">
      <c r="F61" s="55" t="str">
        <v>Overige kosten (bijv. folie)</v>
      </c>
      <c r="G61" s="49" t="s">
        <v>114</v>
      </c>
      <c r="H61" s="45"/>
      <c r="I61" s="107" cm="1">
        <f t="array" ref="I61">IF(ISBLANK(H61),INDEX(CultInvest01[[#All],[Geen]:[Waarde MIN]],_xlfn.XMATCH(Riet!F61,CultInvest01[[#All],[Teelt - Investeringen perceel]]),_xlfn.XMATCH(Riet!G61,CultInvest01[[#Headers],[Geen]:[Waarde MIN]])),H61)</f>
        <v>0</v>
      </c>
      <c r="J61" s="56" t="s">
        <v>88</v>
      </c>
      <c r="L61" s="55" t="str">
        <v>Elektraverbruik irrigatie en peilbeheer</v>
      </c>
      <c r="M61" s="49" t="s">
        <v>114</v>
      </c>
      <c r="N61" s="45"/>
      <c r="O61" s="107" cm="1">
        <f t="array" ref="O61">IF(ISBLANK(N61),INDEX(CultCost02[[#All],[Geen]:[Waarde MIN]],_xlfn.XMATCH(Riet!L61,CultCost02[[#All],[Energieverbruik en water]]),_xlfn.XMATCH(Riet!M61,CultCost02[[#Headers],[Geen]:[Waarde MIN]])),N61)</f>
        <v>0</v>
      </c>
      <c r="P61" s="56" t="s">
        <v>88</v>
      </c>
    </row>
    <row r="62" spans="2:16" ht="16.5" thickTop="1" thickBot="1">
      <c r="F62" s="55" t="str">
        <v>Vergunningsaanvraag</v>
      </c>
      <c r="G62" s="49" t="s">
        <v>79</v>
      </c>
      <c r="H62" s="45"/>
      <c r="I62" s="107" cm="1">
        <f t="array" ref="I62">IF(ISBLANK(H62),INDEX(CultInvest01[[#All],[Geen]:[Waarde MIN]],_xlfn.XMATCH(Riet!F62,CultInvest01[[#All],[Teelt - Investeringen perceel]]),_xlfn.XMATCH(Riet!G62,CultInvest01[[#Headers],[Geen]:[Waarde MIN]])),H62)</f>
        <v>150</v>
      </c>
      <c r="J62" s="56" t="s">
        <v>88</v>
      </c>
      <c r="L62" s="55" t="str">
        <v xml:space="preserve">Elektraverbruik overig </v>
      </c>
      <c r="M62" s="49" t="s">
        <v>114</v>
      </c>
      <c r="N62" s="45"/>
      <c r="O62" s="107" cm="1">
        <f t="array" ref="O62">IF(ISBLANK(N62),INDEX(CultCost02[[#All],[Geen]:[Waarde MIN]],_xlfn.XMATCH(Riet!L62,CultCost02[[#All],[Energieverbruik en water]]),_xlfn.XMATCH(Riet!M62,CultCost02[[#Headers],[Geen]:[Waarde MIN]])),N62)</f>
        <v>0</v>
      </c>
      <c r="P62" s="56" t="s">
        <v>88</v>
      </c>
    </row>
    <row r="63" spans="2:16" ht="16.5" thickTop="1" thickBot="1">
      <c r="F63" s="55"/>
      <c r="G63" s="43"/>
      <c r="H63" s="107"/>
      <c r="I63" s="107"/>
      <c r="J63" s="56"/>
      <c r="L63" s="55" t="str">
        <v>Heffingen waterverbruik</v>
      </c>
      <c r="M63" s="49" t="s">
        <v>114</v>
      </c>
      <c r="N63" s="45"/>
      <c r="O63" s="107" cm="1">
        <f t="array" ref="O63">IF(ISBLANK(N63),INDEX(CultCost02[[#All],[Geen]:[Waarde MIN]],_xlfn.XMATCH(Riet!L63,CultCost02[[#All],[Energieverbruik en water]]),_xlfn.XMATCH(Riet!M63,CultCost02[[#Headers],[Geen]:[Waarde MIN]])),N63)</f>
        <v>0</v>
      </c>
      <c r="P63" s="56" t="s">
        <v>88</v>
      </c>
    </row>
    <row r="64" spans="2:16" ht="16.5" thickTop="1" thickBot="1">
      <c r="F64" s="76" t="s">
        <v>127</v>
      </c>
      <c r="G64" s="43"/>
      <c r="H64" s="107"/>
      <c r="I64" s="107"/>
      <c r="J64" s="56"/>
      <c r="L64" s="55"/>
      <c r="M64" s="103"/>
      <c r="N64" s="103"/>
      <c r="O64" s="103"/>
      <c r="P64" s="56"/>
    </row>
    <row r="65" spans="6:16" ht="16.5" thickTop="1" thickBot="1">
      <c r="F65" s="49" t="s">
        <v>209</v>
      </c>
      <c r="G65" s="43"/>
      <c r="H65" s="107"/>
      <c r="I65" s="107"/>
      <c r="J65" s="56"/>
      <c r="L65" s="76" t="str" cm="1">
        <f t="array" ref="L65:L67">CultCost03[[#All],[Belastingen en verzekeringen]]</f>
        <v>Belastingen en verzekeringen</v>
      </c>
      <c r="M65" s="63" t="s">
        <v>112</v>
      </c>
      <c r="N65" s="64" t="s">
        <v>111</v>
      </c>
      <c r="O65" s="79">
        <f>SUM(O66:O67)</f>
        <v>175</v>
      </c>
      <c r="P65" s="111" t="s">
        <v>88</v>
      </c>
    </row>
    <row r="66" spans="6:16" ht="16.5" thickTop="1" thickBot="1">
      <c r="F66" s="76" t="s">
        <v>128</v>
      </c>
      <c r="G66" s="63" t="s">
        <v>112</v>
      </c>
      <c r="H66" s="64" t="s">
        <v>111</v>
      </c>
      <c r="I66" s="41">
        <f>IF(F67='DATA - Variabelen &amp; waarden'!B42,SUM(Riet!I69,Riet!I70,Riet!I71,Riet!I74,Riet!I79),SUM(Riet!I69,Riet!I70,Riet!I75,Riet!I77))</f>
        <v>7165</v>
      </c>
      <c r="J66" s="111" t="s">
        <v>88</v>
      </c>
      <c r="L66" s="55" t="str">
        <v>Waterschapsbelasting</v>
      </c>
      <c r="M66" s="49" t="s">
        <v>129</v>
      </c>
      <c r="N66" s="45"/>
      <c r="O66" s="119" cm="1">
        <f t="array" ref="O66">IF(ISBLANK(N66),INDEX(CultCost03[[#All],[Geen]:[Waarde MIN]],_xlfn.XMATCH(Riet!L66,CultCost03[[#All],[Belastingen en verzekeringen]]),_xlfn.XMATCH(Riet!M66,CultCost03[[#Headers],[Geen]:[Waarde MIN]])),N66)</f>
        <v>100</v>
      </c>
      <c r="P66" s="56" t="s">
        <v>88</v>
      </c>
    </row>
    <row r="67" spans="6:16" ht="16.5" thickTop="1" thickBot="1">
      <c r="F67" s="49" t="s">
        <v>130</v>
      </c>
      <c r="G67" s="43"/>
      <c r="H67" s="107"/>
      <c r="I67" s="107"/>
      <c r="J67" s="56"/>
      <c r="L67" s="55" t="str">
        <v>Verzekeringen</v>
      </c>
      <c r="M67" s="49" t="s">
        <v>79</v>
      </c>
      <c r="N67" s="45"/>
      <c r="O67" s="103" cm="1">
        <f t="array" ref="O67">IF(ISBLANK(N67),INDEX(CultCost03[[#All],[Geen]:[Waarde MIN]],_xlfn.XMATCH(Riet!L67,CultCost03[[#All],[Belastingen en verzekeringen]]),_xlfn.XMATCH(Riet!M67,CultCost03[[#Headers],[Geen]:[Waarde MIN]])),N67)</f>
        <v>75</v>
      </c>
      <c r="P67" s="56" t="s">
        <v>88</v>
      </c>
    </row>
    <row r="68" spans="6:16" ht="16.5" thickTop="1" thickBot="1">
      <c r="F68" s="76" t="s">
        <v>131</v>
      </c>
      <c r="G68" s="43"/>
      <c r="H68" s="107"/>
      <c r="I68" s="107"/>
      <c r="J68" s="56"/>
      <c r="L68" s="55"/>
      <c r="M68" s="103"/>
      <c r="N68" s="103"/>
      <c r="O68" s="103"/>
      <c r="P68" s="56"/>
    </row>
    <row r="69" spans="6:16" ht="16.5" thickTop="1" thickBot="1">
      <c r="F69" s="55" t="str" cm="1">
        <f t="array" ref="F69:F75">CultInvest02[Planten / Zaaien - Algemene kosten]</f>
        <v>Klaarmaken grond - grondbewerking</v>
      </c>
      <c r="G69" s="49" t="s">
        <v>126</v>
      </c>
      <c r="H69" s="45"/>
      <c r="I69" s="107" cm="1">
        <f t="array" ref="I69">IF(ISBLANK(H69),INDEX(CultInvest02[[#Headers],[#Data],[Geen]:[Waarde MIN]],_xlfn.XMATCH(Riet!F69,CultInvest02[[#Headers],[#Data],[Planten / Zaaien - Algemene kosten]]),_xlfn.XMATCH(Riet!G69,CultInvest02[[#Headers],[Geen]:[Waarde MIN]])),H69)</f>
        <v>65</v>
      </c>
      <c r="J69" s="56" t="s">
        <v>88</v>
      </c>
      <c r="L69" s="76" t="str" cm="1">
        <f t="array" ref="L69:L76">CultCost04[[#All],[Onderhoud]]</f>
        <v>Onderhoud</v>
      </c>
      <c r="M69" s="63" t="s">
        <v>112</v>
      </c>
      <c r="N69" s="64" t="s">
        <v>111</v>
      </c>
      <c r="O69" s="46">
        <f>SUM(O70:O76)</f>
        <v>25</v>
      </c>
      <c r="P69" s="111" t="s">
        <v>88</v>
      </c>
    </row>
    <row r="70" spans="6:16" ht="16.5" thickTop="1" thickBot="1">
      <c r="F70" s="55" t="str">
        <v>Klaarmaken grond - bodemverbeteraars/bemesting</v>
      </c>
      <c r="G70" s="49" t="s">
        <v>126</v>
      </c>
      <c r="H70" s="45"/>
      <c r="I70" s="107" cm="1">
        <f t="array" ref="I70">IF(ISBLANK(H70),INDEX(CultInvest02[[#Headers],[#Data],[Geen]:[Waarde MIN]],_xlfn.XMATCH(Riet!F70,CultInvest02[[#Headers],[#Data],[Planten / Zaaien - Algemene kosten]]),_xlfn.XMATCH(Riet!G70,CultInvest02[[#Headers],[Geen]:[Waarde MIN]])),H70)</f>
        <v>100</v>
      </c>
      <c r="J70" s="56" t="s">
        <v>88</v>
      </c>
      <c r="L70" s="55" t="str">
        <v>Grondverzet - totaal</v>
      </c>
      <c r="M70" s="49" t="s">
        <v>114</v>
      </c>
      <c r="N70" s="45"/>
      <c r="O70" s="43" cm="1">
        <f t="array" ref="O70">IF(ISBLANK(N70),(SUM(I48,I51)*INDEX(CultCost04[[#All],[Geen]:[Waarde MIN]],_xlfn.XMATCH(Riet!L70,CultCost04[[#All],[Onderhoud]]),_xlfn.XMATCH(Riet!M70,CultCost04[[#Headers],[Geen]:[Waarde MIN]]))),N70)</f>
        <v>0</v>
      </c>
      <c r="P70" s="56" t="s">
        <v>88</v>
      </c>
    </row>
    <row r="71" spans="6:16" ht="16.5" thickTop="1" thickBot="1">
      <c r="F71" s="55" t="str">
        <v>Plantkosten - machine</v>
      </c>
      <c r="G71" s="49" t="s">
        <v>114</v>
      </c>
      <c r="H71" s="45"/>
      <c r="I71" s="107" cm="1">
        <f t="array" ref="I71">IF(ISBLANK(H71),INDEX(CultInvest02[[#Headers],[#Data],[Geen]:[Waarde MIN]],_xlfn.XMATCH(Riet!F71,CultInvest02[[#Headers],[#Data],[Planten / Zaaien - Algemene kosten]]),_xlfn.XMATCH(Riet!G71,CultInvest02[[#Headers],[Geen]:[Waarde MIN]])),H71)</f>
        <v>0</v>
      </c>
      <c r="J71" s="56" t="s">
        <v>88</v>
      </c>
      <c r="L71" s="55" t="str">
        <v>Watertoevoer - totaal</v>
      </c>
      <c r="M71" s="49" t="s">
        <v>79</v>
      </c>
      <c r="N71" s="45"/>
      <c r="O71" s="42" cm="1">
        <f t="array" ref="O71">IF(ISBLANK(N71),(I54*INDEX(CultCost04[[#All],[Geen]:[Waarde MIN]],_xlfn.XMATCH(Riet!L71,CultCost04[[#All],[Onderhoud]]),_xlfn.XMATCH(Riet!M71,CultCost04[[#Headers],[Geen]:[Waarde MIN]]))),N71)</f>
        <v>0</v>
      </c>
      <c r="P71" s="56" t="s">
        <v>88</v>
      </c>
    </row>
    <row r="72" spans="6:16" ht="16.5" thickTop="1" thickBot="1">
      <c r="F72" s="114" t="str">
        <v>Plantkosten - uren per hectare</v>
      </c>
      <c r="G72" s="49" t="s">
        <v>129</v>
      </c>
      <c r="H72" s="45"/>
      <c r="I72" s="108" cm="1">
        <f t="array" ref="I72">IF(ISBLANK(H72),INDEX(CultInvest02[[#Headers],[#Data],[Geen]:[Waarde MIN]],_xlfn.XMATCH(Riet!F72,CultInvest02[[#Headers],[#Data],[Planten / Zaaien - Algemene kosten]]),_xlfn.XMATCH(Riet!G72,CultInvest02[[#Headers],[Geen]:[Waarde MIN]])),H72)</f>
        <v>40</v>
      </c>
      <c r="J72" s="112" t="s">
        <v>132</v>
      </c>
      <c r="L72" s="55" t="str">
        <v>Waterafvoer - totaal</v>
      </c>
      <c r="M72" s="49" t="s">
        <v>79</v>
      </c>
      <c r="N72" s="45"/>
      <c r="O72" s="42" cm="1">
        <f t="array" ref="O72">IF(ISBLANK(N72),(I57*INDEX(CultCost04[[#All],[Geen]:[Waarde MIN]],_xlfn.XMATCH(Riet!L72,CultCost04[[#All],[Onderhoud]]),_xlfn.XMATCH(Riet!M72,CultCost04[[#Headers],[Geen]:[Waarde MIN]]))),N72)</f>
        <v>0</v>
      </c>
      <c r="P72" s="56" t="s">
        <v>88</v>
      </c>
    </row>
    <row r="73" spans="6:16" ht="16.5" thickTop="1" thickBot="1">
      <c r="F73" s="114" t="str">
        <v>Plantkosten - prijs per uur</v>
      </c>
      <c r="G73" s="49" t="s">
        <v>79</v>
      </c>
      <c r="H73" s="45"/>
      <c r="I73" s="108" cm="1">
        <f t="array" ref="I73">IF(ISBLANK(H73),INDEX(CultInvest02[[#Headers],[#Data],[Geen]:[Waarde MIN]],_xlfn.XMATCH(Riet!F73,CultInvest02[[#Headers],[#Data],[Planten / Zaaien - Algemene kosten]]),_xlfn.XMATCH(Riet!G73,CultInvest02[[#Headers],[Geen]:[Waarde MIN]])),H73)</f>
        <v>25</v>
      </c>
      <c r="J73" s="112" t="s">
        <v>117</v>
      </c>
      <c r="L73" s="55" t="str">
        <v>Pompen - aanschaf incl. stroomvoorziening</v>
      </c>
      <c r="M73" s="49" t="s">
        <v>79</v>
      </c>
      <c r="N73" s="45"/>
      <c r="O73" s="42" cm="1">
        <f t="array" ref="O73">IF(ISBLANK(N73),(I58*INDEX(CultCost04[[#All],[Geen]:[Waarde MIN]],_xlfn.XMATCH(Riet!L73,CultCost04[[#All],[Onderhoud]]),_xlfn.XMATCH(Riet!M73,CultCost04[[#Headers],[Geen]:[Waarde MIN]]))),N73)</f>
        <v>0</v>
      </c>
      <c r="P73" s="56" t="s">
        <v>88</v>
      </c>
    </row>
    <row r="74" spans="6:16" ht="16.5" thickTop="1" thickBot="1">
      <c r="F74" s="55" t="str">
        <v>Plantkosten - arbeid totaal</v>
      </c>
      <c r="G74" s="43">
        <f>I72*I73</f>
        <v>1000</v>
      </c>
      <c r="H74" s="45"/>
      <c r="I74" s="107">
        <f>IF(ISBLANK(H74),G74,H74)</f>
        <v>1000</v>
      </c>
      <c r="J74" s="56" t="s">
        <v>88</v>
      </c>
      <c r="L74" s="55" t="str">
        <v>Waterpeilbeheersing (schuiven, slibkisten, etc.)</v>
      </c>
      <c r="M74" s="49" t="s">
        <v>79</v>
      </c>
      <c r="N74" s="45"/>
      <c r="O74" s="42" cm="1">
        <f t="array" ref="O74">IF(ISBLANK(N74),(I59*INDEX(CultCost04[[#All],[Geen]:[Waarde MIN]],_xlfn.XMATCH(Riet!L74,CultCost04[[#All],[Onderhoud]]),_xlfn.XMATCH(Riet!M74,CultCost04[[#Headers],[Geen]:[Waarde MIN]]))),N74)</f>
        <v>0</v>
      </c>
      <c r="P74" s="56" t="s">
        <v>88</v>
      </c>
    </row>
    <row r="75" spans="6:16" ht="16.5" thickTop="1" thickBot="1">
      <c r="F75" s="55" t="str">
        <v>Zaaikosten - machine + arbeid</v>
      </c>
      <c r="G75" s="49" t="s">
        <v>129</v>
      </c>
      <c r="H75" s="45"/>
      <c r="I75" s="107" cm="1">
        <f t="array" ref="I75">IF(ISBLANK(H75),INDEX(CultInvest02[[#Headers],[#Data],[Geen]:[Waarde MIN]],_xlfn.XMATCH(Riet!F75,CultInvest02[[#Headers],[#Data],[Planten / Zaaien - Algemene kosten]]),_xlfn.XMATCH(Riet!G75,CultInvest02[[#Headers],[Geen]:[Waarde MIN]])),H75)</f>
        <v>166.25</v>
      </c>
      <c r="J75" s="112" t="s">
        <v>117</v>
      </c>
      <c r="L75" s="55" t="str">
        <v>Afrastering &amp; vraatbescherming</v>
      </c>
      <c r="M75" s="49" t="s">
        <v>129</v>
      </c>
      <c r="N75" s="45"/>
      <c r="O75" s="42" cm="1">
        <f t="array" ref="O75">IF(ISBLANK(N75),(I60*INDEX(CultCost04[[#All],[Geen]:[Waarde MIN]],_xlfn.XMATCH(Riet!L75,CultCost04[[#All],[Onderhoud]]),_xlfn.XMATCH(Riet!M75,CultCost04[[#Headers],[Geen]:[Waarde MIN]]))),N75)</f>
        <v>25</v>
      </c>
      <c r="P75" s="56" t="s">
        <v>88</v>
      </c>
    </row>
    <row r="76" spans="6:16" ht="16.5" thickTop="1" thickBot="1">
      <c r="F76" s="76" t="s">
        <v>133</v>
      </c>
      <c r="G76" s="43"/>
      <c r="H76" s="107"/>
      <c r="I76" s="107"/>
      <c r="J76" s="56"/>
      <c r="L76" s="55" t="str">
        <v>Overige kosten (bijv. folie)</v>
      </c>
      <c r="M76" s="49" t="s">
        <v>79</v>
      </c>
      <c r="N76" s="45"/>
      <c r="O76" s="42" cm="1">
        <f t="array" ref="O76">IF(ISBLANK(N76),(I61*INDEX(CultCost04[[#All],[Geen]:[Waarde MIN]],_xlfn.XMATCH(Riet!L76,CultCost04[[#All],[Onderhoud]]),_xlfn.XMATCH(Riet!M76,CultCost04[[#Headers],[Geen]:[Waarde MIN]]))),N76)</f>
        <v>0</v>
      </c>
      <c r="P76" s="56" t="s">
        <v>88</v>
      </c>
    </row>
    <row r="77" spans="6:16" ht="16.5" thickTop="1" thickBot="1">
      <c r="F77" s="76"/>
      <c r="G77" s="49" t="s">
        <v>79</v>
      </c>
      <c r="H77" s="45"/>
      <c r="I77" s="107" cm="1">
        <f t="array" ref="I77">IF(ISBLANK(H77),INDEX(Zaaigoed[[Geen]:[Waarde MIN]],_xlfn.XMATCH(Riet!F65,Zaaigoed[Zaaigoed]),_xlfn.XMATCH(Riet!G77,Zaaigoed[[#Headers],[Geen]:[Waarde MIN]])),H77)</f>
        <v>0</v>
      </c>
      <c r="J77" s="56" t="s">
        <v>88</v>
      </c>
      <c r="L77" s="55"/>
      <c r="M77" s="103"/>
      <c r="N77" s="103"/>
      <c r="O77" s="103"/>
      <c r="P77" s="56"/>
    </row>
    <row r="78" spans="6:16" ht="16.5" thickTop="1" thickBot="1">
      <c r="F78" s="76" t="s">
        <v>134</v>
      </c>
      <c r="G78" s="43"/>
      <c r="H78" s="107"/>
      <c r="I78" s="107"/>
      <c r="J78" s="56"/>
      <c r="L78" s="76" t="str" cm="1">
        <f t="array" ref="L78:L83">CultCost05[[#All],[Afschrijving &amp; aflossing teeltinvesteringen]]</f>
        <v>Afschrijving &amp; aflossing teeltinvesteringen</v>
      </c>
      <c r="M78" s="63" t="s">
        <v>112</v>
      </c>
      <c r="N78" s="64" t="s">
        <v>111</v>
      </c>
      <c r="O78" s="46">
        <f>SUM(O81,O83)</f>
        <v>728.82940576393366</v>
      </c>
      <c r="P78" s="111" t="s">
        <v>88</v>
      </c>
    </row>
    <row r="79" spans="6:16" ht="16.5" thickTop="1" thickBot="1">
      <c r="F79" s="76"/>
      <c r="G79" s="49" t="s">
        <v>79</v>
      </c>
      <c r="H79" s="45"/>
      <c r="I79" s="107" cm="1">
        <f t="array" ref="I79">IF(ISBLANK(H79),INDEX(Plantgoed[[Geen]:[Waarde MIN]],_xlfn.XMATCH(Riet!F65,Plantgoed[Plantgoed]),_xlfn.XMATCH(Riet!G79,Plantgoed[[#Headers],[Geen]:[Waarde MIN]])),H79)</f>
        <v>6000</v>
      </c>
      <c r="J79" s="56" t="s">
        <v>88</v>
      </c>
      <c r="L79" s="55" t="str">
        <v>Rentepercentage (wel/geen lening)</v>
      </c>
      <c r="M79" s="49" t="s">
        <v>79</v>
      </c>
      <c r="N79" s="50"/>
      <c r="O79" s="47" cm="1">
        <f t="array" ref="O79">IF(ISBLANK(N79),INDEX(CultCost05[[#All],[Geen]:[Waarde MIN]],_xlfn.XMATCH(Riet!L79,CultCost05[[#All],[Afschrijving &amp; aflossing teeltinvesteringen]]),_xlfn.XMATCH(Riet!M79,CultCost05[[#Headers],[Geen]:[Waarde MIN]])),N79)</f>
        <v>0.05</v>
      </c>
      <c r="P79" s="56"/>
    </row>
    <row r="80" spans="6:16" ht="16.5" thickTop="1" thickBot="1">
      <c r="F80" s="57"/>
      <c r="G80" s="104"/>
      <c r="H80" s="104"/>
      <c r="I80" s="104"/>
      <c r="J80" s="58"/>
      <c r="L80" s="55" t="str">
        <v>Afschrijvingstermijn - Investeringen perceel</v>
      </c>
      <c r="M80" s="49" t="s">
        <v>126</v>
      </c>
      <c r="N80" s="45">
        <v>15</v>
      </c>
      <c r="O80" s="43" cm="1">
        <f t="array" ref="O80">IF(ISBLANK(N80),INDEX(CultCost05[[#All],[Geen]:[Waarde MIN]],_xlfn.XMATCH(Riet!L80,CultCost05[[#All],[Afschrijving &amp; aflossing teeltinvesteringen]]),_xlfn.XMATCH(Riet!M80,CultCost05[[#Headers],[Geen]:[Waarde MIN]])),N80)</f>
        <v>15</v>
      </c>
      <c r="P80" s="56" t="s">
        <v>135</v>
      </c>
    </row>
    <row r="81" spans="2:26" ht="16.5" thickTop="1" thickBot="1">
      <c r="I81"/>
      <c r="L81" s="55" t="str">
        <v>Teeltinvesteringen perceel - jaarlijkse afschrijving</v>
      </c>
      <c r="M81" s="43">
        <f>-PMT(O79,O80,I45)</f>
        <v>38.536915043697746</v>
      </c>
      <c r="N81" s="45"/>
      <c r="O81" s="107">
        <f>IF(ISBLANK(N81),M81,N81)</f>
        <v>38.536915043697746</v>
      </c>
      <c r="P81" s="56" t="s">
        <v>88</v>
      </c>
    </row>
    <row r="82" spans="2:26" ht="16.5" thickTop="1" thickBot="1">
      <c r="I82"/>
      <c r="L82" s="55" t="str">
        <v>Afschrijvingstermijn - Plant/zaaikosten</v>
      </c>
      <c r="M82" s="49" t="s">
        <v>79</v>
      </c>
      <c r="N82" s="45">
        <v>15</v>
      </c>
      <c r="O82" s="43" cm="1">
        <f t="array" ref="O82">IF(ISBLANK(N82),INDEX(CultCost05[[#All],[Geen]:[Waarde MIN]],_xlfn.XMATCH(Riet!L82,CultCost05[[#All],[Afschrijving &amp; aflossing teeltinvesteringen]]),_xlfn.XMATCH(Riet!M82,CultCost05[[#Headers],[Geen]:[Waarde MIN]])),N82)</f>
        <v>15</v>
      </c>
      <c r="P82" s="56" t="s">
        <v>135</v>
      </c>
    </row>
    <row r="83" spans="2:26" ht="16" thickTop="1">
      <c r="I83"/>
      <c r="L83" s="55" t="str">
        <v>Plant/zaaikosten - jaarlijkse afschrijving</v>
      </c>
      <c r="M83" s="43">
        <f>-PMT(O79,O82,I66)</f>
        <v>690.29249072023595</v>
      </c>
      <c r="N83" s="45"/>
      <c r="O83" s="107">
        <f>IF(ISBLANK(N83),M83,N83)</f>
        <v>690.29249072023595</v>
      </c>
      <c r="P83" s="56" t="s">
        <v>88</v>
      </c>
    </row>
    <row r="84" spans="2:26">
      <c r="I84"/>
      <c r="L84" s="57"/>
      <c r="M84" s="104"/>
      <c r="N84" s="104"/>
      <c r="O84" s="104"/>
      <c r="P84" s="58"/>
    </row>
    <row r="85" spans="2:26">
      <c r="I85"/>
    </row>
    <row r="86" spans="2:26" s="75" customFormat="1" ht="17">
      <c r="B86" s="74" t="s">
        <v>136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8" spans="2:26" ht="16" thickBot="1">
      <c r="B88" s="61" t="s">
        <v>137</v>
      </c>
      <c r="C88" s="105"/>
      <c r="D88" s="60"/>
      <c r="F88" s="61" t="s">
        <v>138</v>
      </c>
      <c r="G88" s="54" t="str">
        <f>F65</f>
        <v>Riet</v>
      </c>
      <c r="H88" s="105"/>
      <c r="I88" s="80"/>
      <c r="J88" s="60"/>
      <c r="L88" s="121" t="s">
        <v>139</v>
      </c>
      <c r="M88" s="105"/>
      <c r="N88" s="105"/>
      <c r="O88" s="105"/>
      <c r="P88" s="60"/>
    </row>
    <row r="89" spans="2:26" ht="16.5" thickTop="1" thickBot="1">
      <c r="B89" s="81"/>
      <c r="C89" s="103"/>
      <c r="D89" s="56"/>
      <c r="F89" s="76"/>
      <c r="G89" s="63" t="s">
        <v>112</v>
      </c>
      <c r="H89" s="64" t="s">
        <v>111</v>
      </c>
      <c r="I89" s="43"/>
      <c r="J89" s="56"/>
      <c r="L89" s="55" t="s">
        <v>139</v>
      </c>
      <c r="M89" s="49" t="s">
        <v>140</v>
      </c>
      <c r="N89" s="103"/>
      <c r="O89" s="103"/>
      <c r="P89" s="56"/>
    </row>
    <row r="90" spans="2:26" ht="16.5" thickTop="1" thickBot="1">
      <c r="B90" s="76" t="s">
        <v>141</v>
      </c>
      <c r="C90" s="340" t="s">
        <v>109</v>
      </c>
      <c r="D90" s="341"/>
      <c r="F90" s="122" t="str">
        <f>_xlfn.XLOOKUP(G88,Gewasopbrengst_0[Gewasopbrengst gehele plant],Gewasopbrengst_0[Gewasopbrengst 1])</f>
        <v>Rietvezel</v>
      </c>
      <c r="G90" s="49" t="s">
        <v>126</v>
      </c>
      <c r="H90" s="45"/>
      <c r="I90" s="128" cm="1">
        <f t="array" ref="I90">IF(ISBLANK(H90),INDEX(Gewasopbrengst_1[[Geen]:[Waarde MIN]],_xlfn.XMATCH(Riet!G88,Gewasopbrengst_1[Gewasopbrengst 1]),_xlfn.XMATCH(Riet!G90,Gewasopbrengst_1[[#Headers],[Geen]:[Waarde MIN]])),H90)</f>
        <v>10</v>
      </c>
      <c r="J90" s="56" t="s">
        <v>142</v>
      </c>
      <c r="L90" s="76" t="s">
        <v>143</v>
      </c>
      <c r="M90" s="103"/>
      <c r="N90" s="103"/>
      <c r="O90" s="103"/>
      <c r="P90" s="56"/>
    </row>
    <row r="91" spans="2:26" ht="16.5" thickTop="1" thickBot="1">
      <c r="B91" s="55" t="str">
        <f>F90</f>
        <v>Rietvezel</v>
      </c>
      <c r="C91" s="130">
        <f>I90</f>
        <v>10</v>
      </c>
      <c r="D91" s="56" t="s">
        <v>142</v>
      </c>
      <c r="F91" s="122" t="str">
        <f>_xlfn.XLOOKUP(G88,Gewasopbrengst_0[Gewasopbrengst gehele plant],Gewasopbrengst_0[Gewasopbrengst 2])</f>
        <v>Bosjes rietdak</v>
      </c>
      <c r="G91" s="49" t="s">
        <v>126</v>
      </c>
      <c r="H91" s="201"/>
      <c r="I91" s="129" cm="1">
        <f t="array" ref="I91">IF(ISBLANK(H91),INDEX(Gewasopbrengst_2[[Geen]:[Waarde MIN]],_xlfn.XMATCH(Riet!G88,Gewasopbrengst_2[Gewasopbrengst 2]),_xlfn.XMATCH(Riet!G91,Gewasopbrengst_2[[#Headers],[Geen]:[Waarde MIN]])),H91)</f>
        <v>10</v>
      </c>
      <c r="J91" s="56" t="s">
        <v>142</v>
      </c>
      <c r="L91" s="122" t="str">
        <f>F90</f>
        <v>Rietvezel</v>
      </c>
      <c r="M91" s="49" t="s">
        <v>126</v>
      </c>
      <c r="N91" s="45"/>
      <c r="O91" s="47" cm="1">
        <f t="array" ref="O91">IF(ISBLANK(N91),INDEX(GehalteDS_1[[Geen]:[Waarde MIN]],_xlfn.XMATCH(Riet!G88,GehalteDS_1[DS-gehalte 1]),_xlfn.XMATCH(Riet!M91,GehalteDS_1[[#Headers],[Geen]:[Waarde MIN]])),N91)</f>
        <v>0.7</v>
      </c>
      <c r="P91" s="56" t="s">
        <v>144</v>
      </c>
    </row>
    <row r="92" spans="2:26" ht="16.5" thickTop="1" thickBot="1">
      <c r="B92" s="55" t="str">
        <f>F91</f>
        <v>Bosjes rietdak</v>
      </c>
      <c r="C92" s="130">
        <f>I91</f>
        <v>10</v>
      </c>
      <c r="D92" s="56" t="s">
        <v>142</v>
      </c>
      <c r="F92" s="55"/>
      <c r="G92" s="103"/>
      <c r="H92" s="103"/>
      <c r="I92" s="43"/>
      <c r="J92" s="56"/>
      <c r="L92" s="122" t="str">
        <f>F91</f>
        <v>Bosjes rietdak</v>
      </c>
      <c r="M92" s="49" t="s">
        <v>126</v>
      </c>
      <c r="N92" s="201"/>
      <c r="O92" s="216" cm="1">
        <f t="array" ref="O92">IF(ISBLANK(N92),INDEX(GehalteDS_2[[Geen]:[Waarde MIN]],_xlfn.XMATCH(Riet!G88,GehalteDS_2[DS-gehalte 2]),_xlfn.XMATCH(Riet!M92,GehalteDS_2[[#Headers],[Geen]:[Waarde MIN]])),N92)</f>
        <v>0.7</v>
      </c>
      <c r="P92" s="56" t="s">
        <v>144</v>
      </c>
    </row>
    <row r="93" spans="2:26" ht="16.5" thickTop="1" thickBot="1">
      <c r="B93" s="55"/>
      <c r="C93" s="103"/>
      <c r="D93" s="56"/>
      <c r="F93" s="76" t="s">
        <v>145</v>
      </c>
      <c r="G93" s="63" t="s">
        <v>112</v>
      </c>
      <c r="H93" s="64" t="s">
        <v>111</v>
      </c>
      <c r="I93" s="43"/>
      <c r="J93" s="56"/>
      <c r="L93" s="55"/>
      <c r="M93" s="103"/>
      <c r="N93" s="103"/>
      <c r="O93" s="103"/>
      <c r="P93" s="56"/>
    </row>
    <row r="94" spans="2:26" ht="16.5" thickTop="1" thickBot="1">
      <c r="B94" s="76" t="str">
        <f>F93</f>
        <v xml:space="preserve">Opbrengstprijzen </v>
      </c>
      <c r="C94" s="340" t="s">
        <v>109</v>
      </c>
      <c r="D94" s="341"/>
      <c r="F94" s="55" t="str">
        <f>F90</f>
        <v>Rietvezel</v>
      </c>
      <c r="G94" s="49" t="s">
        <v>114</v>
      </c>
      <c r="H94" s="45"/>
      <c r="I94" s="43" cm="1">
        <f t="array" ref="I94">IF(ISBLANK(H94),INDEX(Opbrengstprijs_1[[Geen]:[Waarde MIN]],_xlfn.XMATCH(Riet!G88,Opbrengstprijs_1[Opbrengstprijs 1]),_xlfn.XMATCH(Riet!G94,Opbrengstprijs_1[[#Headers],[Geen]:[Waarde MIN]])),H94)</f>
        <v>0</v>
      </c>
      <c r="J94" s="56" t="s">
        <v>146</v>
      </c>
      <c r="L94" s="55" t="s">
        <v>147</v>
      </c>
      <c r="M94" s="49" t="s">
        <v>210</v>
      </c>
      <c r="N94" s="103"/>
      <c r="O94" s="103"/>
      <c r="P94" s="56"/>
    </row>
    <row r="95" spans="2:26" ht="16.5" thickTop="1" thickBot="1">
      <c r="B95" s="55" t="str">
        <f>F94</f>
        <v>Rietvezel</v>
      </c>
      <c r="C95" s="43">
        <f>I94*I90</f>
        <v>0</v>
      </c>
      <c r="D95" s="56" t="s">
        <v>149</v>
      </c>
      <c r="F95" s="55" t="str">
        <f>F91</f>
        <v>Bosjes rietdak</v>
      </c>
      <c r="G95" s="49" t="s">
        <v>79</v>
      </c>
      <c r="H95" s="201"/>
      <c r="I95" s="107" cm="1">
        <f t="array" ref="I95">IF(ISBLANK(H95),INDEX(Opbrengstprijs_2[[Geen]:[Waarde MIN]],_xlfn.XMATCH(Riet!G88,Opbrengstprijs_2[Opbrengstprijs 2]),_xlfn.XMATCH(Riet!G95,Opbrengstprijs_2[[#Headers],[Geen]:[Waarde MIN]])),H95)</f>
        <v>440</v>
      </c>
      <c r="J95" s="56" t="s">
        <v>146</v>
      </c>
      <c r="L95" s="55"/>
      <c r="M95" s="103"/>
      <c r="N95" s="103"/>
      <c r="O95" s="103"/>
      <c r="P95" s="56"/>
    </row>
    <row r="96" spans="2:26" ht="16" thickTop="1">
      <c r="B96" s="55" t="str">
        <f>F95</f>
        <v>Bosjes rietdak</v>
      </c>
      <c r="C96" s="43">
        <f>I95*I91</f>
        <v>4400</v>
      </c>
      <c r="D96" s="56" t="s">
        <v>149</v>
      </c>
      <c r="F96" s="215"/>
      <c r="G96" s="104"/>
      <c r="H96" s="104"/>
      <c r="I96" s="118"/>
      <c r="J96" s="58"/>
      <c r="L96" s="76" t="s">
        <v>150</v>
      </c>
      <c r="M96" s="63" t="s">
        <v>112</v>
      </c>
      <c r="N96" s="64" t="s">
        <v>111</v>
      </c>
      <c r="O96" s="103"/>
      <c r="P96" s="56"/>
    </row>
    <row r="97" spans="2:16">
      <c r="B97" s="55"/>
      <c r="C97" s="103"/>
      <c r="D97" s="56"/>
      <c r="L97" s="114" t="s">
        <v>151</v>
      </c>
      <c r="M97" s="120">
        <f>_xlfn.XLOOKUP(M94,B91:B92,C91:C92)</f>
        <v>10</v>
      </c>
      <c r="N97" s="135"/>
      <c r="O97" s="108">
        <f>IF(M89="Ja",IF(ISBLANK(N97),M97,N97),0)</f>
        <v>10</v>
      </c>
      <c r="P97" s="112" t="s">
        <v>152</v>
      </c>
    </row>
    <row r="98" spans="2:16" s="195" customFormat="1">
      <c r="B98" s="76" t="s">
        <v>153</v>
      </c>
      <c r="C98" s="340" t="s">
        <v>109</v>
      </c>
      <c r="D98" s="341"/>
      <c r="F98" s="165" t="s">
        <v>154</v>
      </c>
      <c r="G98" s="166"/>
      <c r="H98" s="166"/>
      <c r="I98" s="175"/>
      <c r="J98" s="167"/>
      <c r="L98" s="114"/>
      <c r="M98" s="73"/>
      <c r="N98" s="73"/>
      <c r="O98" s="127">
        <f>_xlfn.XLOOKUP(M94,L91:L92,O91:O92)</f>
        <v>0.7</v>
      </c>
      <c r="P98" s="112" t="s">
        <v>144</v>
      </c>
    </row>
    <row r="99" spans="2:16" ht="16" thickBot="1">
      <c r="B99" s="55" t="str">
        <f>F100</f>
        <v>Oogstkosten Rietvezel</v>
      </c>
      <c r="C99" s="42">
        <f>I100</f>
        <v>760</v>
      </c>
      <c r="D99" s="56" t="s">
        <v>88</v>
      </c>
      <c r="F99" s="168"/>
      <c r="G99" s="103"/>
      <c r="H99" s="103"/>
      <c r="I99" s="43"/>
      <c r="J99" s="176"/>
      <c r="L99" s="125" t="s">
        <v>155</v>
      </c>
      <c r="M99" s="73"/>
      <c r="N99" s="73"/>
      <c r="O99" s="107">
        <f>IFERROR(O97/O98,0)</f>
        <v>14.285714285714286</v>
      </c>
      <c r="P99" s="56" t="s">
        <v>156</v>
      </c>
    </row>
    <row r="100" spans="2:16" ht="16.5" thickTop="1" thickBot="1">
      <c r="B100" s="55" t="str">
        <f>F110</f>
        <v>Opslag - Plant/blad &amp; stengelmateriaal</v>
      </c>
      <c r="C100" s="42">
        <f>IFERROR(#REF!/#REF!,0)</f>
        <v>0</v>
      </c>
      <c r="D100" s="56" t="s">
        <v>88</v>
      </c>
      <c r="F100" s="189" t="str">
        <f>_xlfn.CONCAT("Oogstkosten ",F90)</f>
        <v>Oogstkosten Rietvezel</v>
      </c>
      <c r="G100" s="63" t="s">
        <v>112</v>
      </c>
      <c r="H100" s="64" t="s">
        <v>111</v>
      </c>
      <c r="I100" s="41">
        <f>SUM(I106,I103)</f>
        <v>760</v>
      </c>
      <c r="J100" s="177" t="s">
        <v>88</v>
      </c>
      <c r="L100" s="114" t="str">
        <f>'DATA - Variabelen &amp; waarden'!B383</f>
        <v xml:space="preserve">Drogestofgehalte output </v>
      </c>
      <c r="M100" s="49" t="s">
        <v>79</v>
      </c>
      <c r="N100" s="45"/>
      <c r="O100" s="127" cm="1">
        <f t="array" ref="O100">IF(ISBLANK(N100),INDEX(VoorDroog[[#All],[Geen]:[Waarde MIN]],_xlfn.XMATCH(Riet!L100,VoorDroog[[#All],[Voordrogen]]),_xlfn.XMATCH(Riet!M100,VoorDroog[[#Headers],[Geen]:[Waarde MIN]])),N100)</f>
        <v>0.9</v>
      </c>
      <c r="P100" s="112" t="s">
        <v>144</v>
      </c>
    </row>
    <row r="101" spans="2:16" ht="16.5" thickTop="1" thickBot="1">
      <c r="B101" s="55" t="str">
        <f>F117</f>
        <v>Oogstkosten Bosjes rietdak</v>
      </c>
      <c r="C101" s="42">
        <f>I117</f>
        <v>0</v>
      </c>
      <c r="D101" s="56" t="s">
        <v>88</v>
      </c>
      <c r="F101" s="185" t="s">
        <v>157</v>
      </c>
      <c r="G101" s="49" t="s">
        <v>79</v>
      </c>
      <c r="H101" s="45"/>
      <c r="I101" s="108" cm="1">
        <f t="array" ref="I101">IF(ISBLANK(H101),INDEX(HarvestCost01[[#All],[Geen]:[Waarde MIN]],_xlfn.XMATCH(Riet!F101,HarvestCost01[[#All],[Oogst - tarief - Gehele plant/blad &amp; stengelmateriaal]]),_xlfn.XMATCH(Riet!G101,HarvestCost01[[#Headers],[Geen]:[Waarde MIN]])),H101)</f>
        <v>110</v>
      </c>
      <c r="J101" s="181" t="s">
        <v>117</v>
      </c>
      <c r="L101" s="125" t="s">
        <v>158</v>
      </c>
      <c r="M101" s="103"/>
      <c r="N101" s="103"/>
      <c r="O101" s="42">
        <f>IFERROR(IF($O$98&lt;$O$100,O97/O100,0),0)</f>
        <v>11.111111111111111</v>
      </c>
      <c r="P101" s="56" t="s">
        <v>156</v>
      </c>
    </row>
    <row r="102" spans="2:16" ht="16.5" thickTop="1" thickBot="1">
      <c r="B102" s="55" t="str">
        <f>F127</f>
        <v>Opslag - Zaden</v>
      </c>
      <c r="C102" s="42">
        <f>IFERROR(#REF!/#REF!,0)</f>
        <v>0</v>
      </c>
      <c r="D102" s="56" t="s">
        <v>88</v>
      </c>
      <c r="F102" s="179" t="s">
        <v>159</v>
      </c>
      <c r="G102" s="49" t="s">
        <v>79</v>
      </c>
      <c r="H102" s="45"/>
      <c r="I102" s="187" cm="1">
        <f t="array" ref="I102">IF(ISBLANK(H102),INDEX('DATA - Variabelen &amp; waarden'!D298:G307,_xlfn.XMATCH(Riet!F101,'DATA - Variabelen &amp; waarden'!B298:B307),_xlfn.XMATCH(Riet!G102,'DATA - Variabelen &amp; waarden'!D298:G298)),H102)</f>
        <v>4</v>
      </c>
      <c r="J102" s="188" t="s">
        <v>116</v>
      </c>
      <c r="L102" s="134" t="s">
        <v>160</v>
      </c>
      <c r="M102" s="132"/>
      <c r="N102" s="132"/>
      <c r="O102" s="144">
        <f>IF(O98&lt;O100,O99-O101,0)</f>
        <v>3.1746031746031758</v>
      </c>
      <c r="P102" s="133" t="s">
        <v>156</v>
      </c>
    </row>
    <row r="103" spans="2:16" ht="16.5" thickTop="1" thickBot="1">
      <c r="B103" s="145" t="s">
        <v>161</v>
      </c>
      <c r="C103" s="42">
        <f>IFERROR(#REF!/#REF!,0)</f>
        <v>0</v>
      </c>
      <c r="D103" s="146" t="s">
        <v>88</v>
      </c>
      <c r="F103" s="186" t="s">
        <v>162</v>
      </c>
      <c r="G103" s="173">
        <f>I101*I102</f>
        <v>440</v>
      </c>
      <c r="H103" s="45"/>
      <c r="I103" s="107">
        <f>IF(ISBLANK(H103),G103,H103)</f>
        <v>440</v>
      </c>
      <c r="J103" s="162" t="s">
        <v>88</v>
      </c>
      <c r="L103" s="55" t="s">
        <v>163</v>
      </c>
      <c r="M103" s="49" t="s">
        <v>129</v>
      </c>
      <c r="N103" s="142"/>
      <c r="O103" s="48" cm="1">
        <f t="array" ref="O103">IF(ISBLANK(N103),_xlfn.XLOOKUP(M103,Tabel37[[#Headers],[Geen]:[Waarde MIN]],'DATA - Variabelen &amp; waarden'!D415:G415,"Selecteer waarde"),N103)</f>
        <v>10</v>
      </c>
      <c r="P103" s="56" t="s">
        <v>164</v>
      </c>
    </row>
    <row r="104" spans="2:16" ht="16.5" thickTop="1" thickBot="1">
      <c r="B104" s="78" t="s">
        <v>165</v>
      </c>
      <c r="C104" s="147">
        <f>SUM(C99:C103)</f>
        <v>760</v>
      </c>
      <c r="D104" s="217" t="s">
        <v>88</v>
      </c>
      <c r="F104" s="179" t="str">
        <f>HarvestCost11[[#Headers],[Veld &amp; opslaglogistiek - tarief - Gehele plant/blad &amp; stengelmateriaal]]</f>
        <v>Veld &amp; opslaglogistiek - tarief - Gehele plant/blad &amp; stengelmateriaal</v>
      </c>
      <c r="G104" s="49" t="s">
        <v>79</v>
      </c>
      <c r="H104" s="45"/>
      <c r="I104" s="187" cm="1">
        <f t="array" ref="I104">IF(ISBLANK(H104),_xlfn.XLOOKUP(G104,HarvestCost11[[#Headers],[Geen]:[Waarde MIN]],HarvestCost11[[#Totals],[Geen]:[Waarde MIN]]),H104)</f>
        <v>80</v>
      </c>
      <c r="J104" s="188" t="s">
        <v>117</v>
      </c>
      <c r="L104" s="55"/>
      <c r="M104" s="103"/>
      <c r="N104" s="103"/>
      <c r="O104" s="103"/>
      <c r="P104" s="56"/>
    </row>
    <row r="105" spans="2:16" ht="16.5" thickTop="1" thickBot="1">
      <c r="F105" s="179" t="s">
        <v>166</v>
      </c>
      <c r="G105" s="49" t="s">
        <v>79</v>
      </c>
      <c r="H105" s="45"/>
      <c r="I105" s="187" cm="1">
        <f t="array" ref="I105">IF(ISBLANK(H105),INDEX('DATA - Variabelen &amp; waarden'!D298:G307,_xlfn.XMATCH(Riet!F101,'DATA - Variabelen &amp; waarden'!B298:B307),_xlfn.XMATCH(Riet!G105,'DATA - Variabelen &amp; waarden'!D298:G298)),H105)</f>
        <v>4</v>
      </c>
      <c r="J105" s="188" t="s">
        <v>116</v>
      </c>
      <c r="L105" s="76" t="s">
        <v>167</v>
      </c>
      <c r="M105" s="63" t="s">
        <v>112</v>
      </c>
      <c r="N105" s="64" t="s">
        <v>111</v>
      </c>
      <c r="O105" s="103"/>
      <c r="P105" s="56"/>
    </row>
    <row r="106" spans="2:16" ht="16.5" thickTop="1" thickBot="1">
      <c r="F106" s="186" t="s">
        <v>168</v>
      </c>
      <c r="G106" s="173">
        <f>I104*I105</f>
        <v>320</v>
      </c>
      <c r="H106" s="45"/>
      <c r="I106" s="107">
        <f>IF(ISBLANK(H106),G106,H106)</f>
        <v>320</v>
      </c>
      <c r="J106" s="162" t="s">
        <v>88</v>
      </c>
      <c r="L106" s="114" t="s">
        <v>169</v>
      </c>
      <c r="M106" s="73"/>
      <c r="N106" s="45">
        <v>25</v>
      </c>
      <c r="O106" s="73">
        <f>N106</f>
        <v>25</v>
      </c>
      <c r="P106" s="112" t="s">
        <v>170</v>
      </c>
    </row>
    <row r="107" spans="2:16" ht="16.5" thickTop="1" thickBot="1">
      <c r="F107" s="160"/>
      <c r="G107" s="161"/>
      <c r="H107" s="161"/>
      <c r="I107" s="173"/>
      <c r="J107" s="162"/>
      <c r="L107" s="138" t="s">
        <v>171</v>
      </c>
      <c r="M107" s="49" t="s">
        <v>79</v>
      </c>
      <c r="N107" s="45"/>
      <c r="O107" s="137" cm="1">
        <f t="array" ref="O107">IF(ISBLANK(N107),INDEX(ProcesCost01[[#All],[Geen]:[Waarde MIN]],_xlfn.XMATCH(Riet!L107,ProcesCost01[[#All],[Transportkosten]]),_xlfn.XMATCH(Riet!M107,ProcesCost01[[#Headers],[Geen]:[Waarde MIN]])),N107)</f>
        <v>0.12</v>
      </c>
      <c r="P107" s="112" t="s">
        <v>172</v>
      </c>
    </row>
    <row r="108" spans="2:16" ht="16.5" thickTop="1" thickBot="1">
      <c r="F108" s="189" t="str">
        <f>_xlfn.CONCAT("Bewaarmethode ",F90)</f>
        <v>Bewaarmethode Rietvezel</v>
      </c>
      <c r="G108" s="103"/>
      <c r="H108" s="103"/>
      <c r="I108" s="43"/>
      <c r="J108" s="176"/>
      <c r="L108" s="125" t="s">
        <v>173</v>
      </c>
      <c r="M108" s="103"/>
      <c r="N108" s="45"/>
      <c r="O108" s="107">
        <f>IF(ISBLANK(N108),IF($O$98&lt;$O$100,O106*O107*O99,0),N108)</f>
        <v>42.857142857142861</v>
      </c>
      <c r="P108" s="56" t="s">
        <v>174</v>
      </c>
    </row>
    <row r="109" spans="2:16" ht="16.5" thickTop="1" thickBot="1">
      <c r="F109" s="178" t="s">
        <v>175</v>
      </c>
      <c r="G109" s="49" t="s">
        <v>79</v>
      </c>
      <c r="H109" s="45"/>
      <c r="I109" s="43" cm="1">
        <f t="array" ref="I109">IF(ISBLANK(H109),INDEX(Stock1[[#All],[Geen]:[Waarde MIN]],_xlfn.XMATCH(Riet!F109,Stock1[[#All],[Bewaarmethode - Plant/blad &amp; stengelmateriaal]]),_xlfn.XMATCH(Riet!G109,Stock1[[#Headers],[Geen]:[Waarde MIN]])),H109)</f>
        <v>0</v>
      </c>
      <c r="J109" s="176" t="s">
        <v>176</v>
      </c>
      <c r="L109" s="122"/>
      <c r="M109" s="103"/>
      <c r="N109" s="103"/>
      <c r="O109" s="103"/>
      <c r="P109" s="56"/>
    </row>
    <row r="110" spans="2:16" ht="16.5" thickTop="1" thickBot="1">
      <c r="F110" s="189" t="str">
        <f>Stock11[[#Headers],[Opslag - Plant/blad &amp; stengelmateriaal]]</f>
        <v>Opslag - Plant/blad &amp; stengelmateriaal</v>
      </c>
      <c r="G110" s="103"/>
      <c r="H110" s="103"/>
      <c r="I110" s="43"/>
      <c r="J110" s="176"/>
      <c r="L110" s="114" t="s">
        <v>177</v>
      </c>
      <c r="M110" s="73"/>
      <c r="N110" s="45"/>
      <c r="O110" s="73">
        <f>N110</f>
        <v>0</v>
      </c>
      <c r="P110" s="112" t="s">
        <v>170</v>
      </c>
    </row>
    <row r="111" spans="2:16" ht="16.5" thickTop="1" thickBot="1">
      <c r="F111" s="178" t="s">
        <v>178</v>
      </c>
      <c r="G111" s="49" t="s">
        <v>79</v>
      </c>
      <c r="H111" s="45"/>
      <c r="I111" s="48" cm="1">
        <f t="array" ref="I111">IF(ISBLANK(H111),INDEX(Stock11[[#All],[Geen]:[Waarde MIN]],_xlfn.XMATCH(Riet!F111,Stock11[[#All],[Opslag - Plant/blad &amp; stengelmateriaal]]),_xlfn.XMATCH(Riet!G111,Stock11[[#Headers],[Geen]:[Waarde MIN]])),H111)</f>
        <v>8</v>
      </c>
      <c r="J111" s="176" t="s">
        <v>176</v>
      </c>
      <c r="L111" s="138" t="s">
        <v>114</v>
      </c>
      <c r="M111" s="49" t="s">
        <v>79</v>
      </c>
      <c r="N111" s="45"/>
      <c r="O111" s="137" cm="1">
        <f t="array" ref="O111">IF(ISBLANK(N111),INDEX(ProcesCost01[[#All],[Geen]:[Waarde MIN]],_xlfn.XMATCH(Riet!L111,ProcesCost01[[#All],[Transportkosten]]),_xlfn.XMATCH(Riet!M111,ProcesCost01[[#Headers],[Geen]:[Waarde MIN]])),N111)</f>
        <v>0</v>
      </c>
      <c r="P111" s="112" t="s">
        <v>172</v>
      </c>
    </row>
    <row r="112" spans="2:16" ht="16.5" thickTop="1" thickBot="1">
      <c r="F112" s="180" t="s">
        <v>179</v>
      </c>
      <c r="G112" s="103"/>
      <c r="H112" s="103"/>
      <c r="I112" s="43"/>
      <c r="J112" s="176"/>
      <c r="L112" s="125" t="s">
        <v>180</v>
      </c>
      <c r="M112" s="103"/>
      <c r="N112" s="45"/>
      <c r="O112" s="107">
        <f>IF(ISBLANK(N112),O110*O111*O101,N112)</f>
        <v>0</v>
      </c>
      <c r="P112" s="56" t="s">
        <v>174</v>
      </c>
    </row>
    <row r="113" spans="6:16" ht="16.5" thickTop="1" thickBot="1">
      <c r="F113" s="178" t="s">
        <v>635</v>
      </c>
      <c r="G113" s="49" t="s">
        <v>79</v>
      </c>
      <c r="H113" s="45"/>
      <c r="I113" s="108" cm="1">
        <f t="array" ref="I113">IF(ISBLANK(H113),INDEX(StockBales[[#All],[Geen]:[Waarde MIN]],_xlfn.XMATCH(F113,StockBales[[#All],[DS inhoud balen ]]),_xlfn.XMATCH(Riet!G113,StockBales[[#Headers],[Geen]:[Waarde MIN]])),H113)</f>
        <v>267.12</v>
      </c>
      <c r="J113" s="181" t="s">
        <v>182</v>
      </c>
      <c r="L113" s="122"/>
      <c r="M113" s="103"/>
      <c r="N113" s="103"/>
      <c r="O113" s="103"/>
      <c r="P113" s="56"/>
    </row>
    <row r="114" spans="6:16" ht="16.5" thickTop="1" thickBot="1">
      <c r="F114" s="182" t="s">
        <v>183</v>
      </c>
      <c r="G114" s="103"/>
      <c r="H114" s="103"/>
      <c r="I114" s="107">
        <f>IF(OR(F109='DATA - Variabelen &amp; waarden'!B343,F109='DATA - Variabelen &amp; waarden'!B344,F109='DATA - Variabelen &amp; waarden'!B346),I113/1000*I109,0)</f>
        <v>0</v>
      </c>
      <c r="J114" s="176" t="s">
        <v>184</v>
      </c>
      <c r="L114" s="76" t="s">
        <v>185</v>
      </c>
      <c r="M114" s="63" t="s">
        <v>112</v>
      </c>
      <c r="N114" s="64" t="s">
        <v>111</v>
      </c>
      <c r="O114" s="103"/>
      <c r="P114" s="56"/>
    </row>
    <row r="115" spans="6:16" ht="16.5" thickTop="1" thickBot="1">
      <c r="F115" s="182" t="s">
        <v>186</v>
      </c>
      <c r="G115" s="103"/>
      <c r="H115" s="103"/>
      <c r="I115" s="117">
        <f>IF(OR(F111='DATA - Variabelen &amp; waarden'!B353,F111='DATA - Variabelen &amp; waarden'!B354,F111='DATA - Variabelen &amp; waarden'!B355),Riet!I113/1000*Riet!I111,0)</f>
        <v>2.1369600000000002</v>
      </c>
      <c r="J115" s="176" t="s">
        <v>184</v>
      </c>
      <c r="L115" s="138" t="s">
        <v>667</v>
      </c>
      <c r="M115" s="49" t="s">
        <v>126</v>
      </c>
      <c r="N115" s="53"/>
      <c r="O115" s="140" cm="1">
        <f t="array" ref="O115">IF(ISBLANK(N115),INDEX(DryingCost1[[#All],[Geen]:[Waarde MIN]],_xlfn.XMATCH(Riet!L115,DryingCost1[[#All],[Drogen - Kosten]]),_xlfn.XMATCH(Riet!M115,DryingCost1[[#Headers],[Geen]:[Waarde MIN]])),N115)</f>
        <v>300</v>
      </c>
      <c r="P115" s="112" t="s">
        <v>188</v>
      </c>
    </row>
    <row r="116" spans="6:16" ht="16.5" thickTop="1" thickBot="1">
      <c r="F116" s="168"/>
      <c r="G116" s="103"/>
      <c r="H116" s="103"/>
      <c r="I116" s="43"/>
      <c r="J116" s="176"/>
      <c r="L116" s="124" t="s">
        <v>189</v>
      </c>
      <c r="M116" s="49" t="s">
        <v>79</v>
      </c>
      <c r="N116" s="52"/>
      <c r="O116" s="141" cm="1">
        <f t="array" ref="O116">IF(ISBLANK(N116),INDEX(DryingCost11[[#All],[Geen]:[Waarde MIN]],_xlfn.XMATCH(Riet!L115,DryingCost11[[#All],[Drogen - Producteffciency]]),_xlfn.XMATCH(Riet!M116,DryingCost11[[#Headers],[Geen]:[Waarde MIN]])),N116)</f>
        <v>0.9</v>
      </c>
      <c r="P116" s="112" t="s">
        <v>190</v>
      </c>
    </row>
    <row r="117" spans="6:16" ht="16.5" thickTop="1" thickBot="1">
      <c r="F117" s="189" t="str">
        <f>_xlfn.CONCAT("Oogstkosten ",F91)</f>
        <v>Oogstkosten Bosjes rietdak</v>
      </c>
      <c r="G117" s="63" t="s">
        <v>112</v>
      </c>
      <c r="H117" s="64" t="s">
        <v>111</v>
      </c>
      <c r="I117" s="174">
        <f>SUM(I120,I123)</f>
        <v>0</v>
      </c>
      <c r="J117" s="177" t="s">
        <v>88</v>
      </c>
      <c r="L117" s="139" t="s">
        <v>185</v>
      </c>
      <c r="M117" s="103"/>
      <c r="N117" s="45"/>
      <c r="O117" s="107">
        <f>IF(ISBLANK(N117),O115*O102,N117)</f>
        <v>952.38095238095275</v>
      </c>
      <c r="P117" s="56" t="s">
        <v>174</v>
      </c>
    </row>
    <row r="118" spans="6:16" ht="16.5" thickTop="1" thickBot="1">
      <c r="F118" s="185" t="s">
        <v>114</v>
      </c>
      <c r="G118" s="49" t="s">
        <v>114</v>
      </c>
      <c r="H118" s="45"/>
      <c r="I118" s="187" cm="1">
        <f t="array" ref="I118">IF(ISBLANK(H118),INDEX(HarvestCost2[[#All],[Geen]:[Waarde MIN]],_xlfn.XMATCH(Riet!F118,HarvestCost2[[#All],[Oogst - tarief - Zaden]]),_xlfn.XMATCH(Riet!G118,HarvestCost2[[#Headers],[Geen]:[Waarde MIN]])),H118)</f>
        <v>0</v>
      </c>
      <c r="J118" s="181" t="s">
        <v>117</v>
      </c>
      <c r="L118" s="125" t="s">
        <v>191</v>
      </c>
      <c r="M118" s="103"/>
      <c r="N118" s="103"/>
      <c r="O118" s="42">
        <f>O101*O116</f>
        <v>10</v>
      </c>
      <c r="P118" s="56" t="s">
        <v>156</v>
      </c>
    </row>
    <row r="119" spans="6:16" ht="16.5" thickTop="1" thickBot="1">
      <c r="F119" s="191" t="s">
        <v>159</v>
      </c>
      <c r="G119" s="190" t="s">
        <v>114</v>
      </c>
      <c r="H119" s="45"/>
      <c r="I119" s="193" cm="1">
        <f t="array" ref="I119">IF(ISBLANK(H119),INDEX('DATA - Variabelen &amp; waarden'!D323:G329,_xlfn.XMATCH(Riet!F118,'DATA - Variabelen &amp; waarden'!B323:B329),_xlfn.XMATCH(Riet!G119,'DATA - Variabelen &amp; waarden'!D323:G323)),H119)</f>
        <v>0</v>
      </c>
      <c r="J119" s="194" t="s">
        <v>116</v>
      </c>
      <c r="L119" s="125" t="s">
        <v>192</v>
      </c>
      <c r="M119" s="103"/>
      <c r="N119" s="103"/>
      <c r="O119" s="42">
        <f>O101-O118</f>
        <v>1.1111111111111107</v>
      </c>
      <c r="P119" s="56" t="s">
        <v>156</v>
      </c>
    </row>
    <row r="120" spans="6:16" ht="16.5" thickTop="1" thickBot="1">
      <c r="F120" s="186" t="s">
        <v>162</v>
      </c>
      <c r="G120" s="173">
        <f>I118*I119</f>
        <v>0</v>
      </c>
      <c r="H120" s="45"/>
      <c r="I120" s="107">
        <f>IF(ISBLANK(H120),G120,H120)</f>
        <v>0</v>
      </c>
      <c r="J120" s="162" t="s">
        <v>88</v>
      </c>
      <c r="L120" s="55"/>
      <c r="M120" s="103"/>
      <c r="N120" s="103"/>
      <c r="O120" s="103"/>
      <c r="P120" s="56"/>
    </row>
    <row r="121" spans="6:16" ht="18" customHeight="1" thickTop="1" thickBot="1">
      <c r="F121" s="179" t="str">
        <f>HarvestCost21[[#Headers],[Veld &amp; opslaglogistiek - tarief - Zaden]]</f>
        <v>Veld &amp; opslaglogistiek - tarief - Zaden</v>
      </c>
      <c r="G121" s="49" t="s">
        <v>114</v>
      </c>
      <c r="H121" s="45"/>
      <c r="I121" s="187" cm="1">
        <f t="array" ref="I121">IF(ISBLANK(H121),_xlfn.XLOOKUP(G121,HarvestCost21[[#Headers],[Geen]:[Waarde MIN]],HarvestCost21[[#Totals],[Geen]:[Waarde MIN]]),H121)</f>
        <v>0</v>
      </c>
      <c r="J121" s="188" t="s">
        <v>117</v>
      </c>
      <c r="L121" s="123" t="s">
        <v>80</v>
      </c>
      <c r="M121" s="103"/>
      <c r="N121" s="103"/>
      <c r="O121" s="103"/>
      <c r="P121" s="56"/>
    </row>
    <row r="122" spans="6:16" ht="16.5" thickTop="1" thickBot="1">
      <c r="F122" s="179" t="s">
        <v>166</v>
      </c>
      <c r="G122" s="49" t="s">
        <v>114</v>
      </c>
      <c r="H122" s="45"/>
      <c r="I122" s="192" cm="1">
        <f t="array" ref="I122">IF(ISBLANK(H122),INDEX('DATA - Variabelen &amp; waarden'!D323:G329,_xlfn.XMATCH(Riet!F118,'DATA - Variabelen &amp; waarden'!B323:B329),_xlfn.XMATCH(Riet!G122,'DATA - Variabelen &amp; waarden'!D323:G323)),H122)</f>
        <v>0</v>
      </c>
      <c r="J122" s="188" t="s">
        <v>116</v>
      </c>
      <c r="L122" s="122" t="s">
        <v>193</v>
      </c>
      <c r="M122" s="103"/>
      <c r="N122" s="103"/>
      <c r="O122" s="42">
        <f>O108</f>
        <v>42.857142857142861</v>
      </c>
      <c r="P122" s="56" t="s">
        <v>194</v>
      </c>
    </row>
    <row r="123" spans="6:16" ht="16" thickTop="1">
      <c r="F123" s="186" t="s">
        <v>168</v>
      </c>
      <c r="G123" s="183">
        <f>I121*I122</f>
        <v>0</v>
      </c>
      <c r="H123" s="45"/>
      <c r="I123" s="107">
        <f>IF(ISBLANK(H123),G123,H123)</f>
        <v>0</v>
      </c>
      <c r="J123" s="162" t="s">
        <v>88</v>
      </c>
      <c r="L123" s="122" t="s">
        <v>195</v>
      </c>
      <c r="M123" s="103"/>
      <c r="N123" s="103"/>
      <c r="O123" s="42">
        <f>O112</f>
        <v>0</v>
      </c>
      <c r="P123" s="56" t="s">
        <v>194</v>
      </c>
    </row>
    <row r="124" spans="6:16">
      <c r="F124" s="160"/>
      <c r="G124" s="161"/>
      <c r="H124" s="161"/>
      <c r="I124" s="161"/>
      <c r="J124" s="162"/>
      <c r="L124" s="55" t="s">
        <v>185</v>
      </c>
      <c r="M124" s="103"/>
      <c r="N124" s="103"/>
      <c r="O124" s="42">
        <f>O117</f>
        <v>952.38095238095275</v>
      </c>
      <c r="P124" s="56" t="s">
        <v>194</v>
      </c>
    </row>
    <row r="125" spans="6:16" ht="19" thickBot="1">
      <c r="F125" s="189" t="str">
        <f>_xlfn.CONCAT("Bewaarmethode ",F91)</f>
        <v>Bewaarmethode Bosjes rietdak</v>
      </c>
      <c r="G125" s="103"/>
      <c r="H125" s="103"/>
      <c r="I125" s="173"/>
      <c r="J125" s="176"/>
      <c r="L125" s="131" t="s">
        <v>196</v>
      </c>
      <c r="M125" s="103"/>
      <c r="N125" s="103"/>
      <c r="O125" s="136">
        <f>O119*O103</f>
        <v>11.111111111111107</v>
      </c>
      <c r="P125" s="56" t="s">
        <v>194</v>
      </c>
    </row>
    <row r="126" spans="6:16" ht="16.5" thickTop="1" thickBot="1">
      <c r="F126" s="178" t="s">
        <v>114</v>
      </c>
      <c r="G126" s="49" t="s">
        <v>126</v>
      </c>
      <c r="H126" s="45"/>
      <c r="I126" s="43" cm="1">
        <f t="array" ref="I126">IF(ISBLANK(H126),INDEX(Stock1[[Geen]:[Waarde MIN]],_xlfn.XMATCH(Riet!F126,Stock1[Bewaarmethode - Plant/blad &amp; stengelmateriaal]),_xlfn.XMATCH(Riet!G126,Stock1[[#Headers],[Geen]:[Waarde MIN]])),H126)</f>
        <v>0</v>
      </c>
      <c r="J126" s="176" t="s">
        <v>176</v>
      </c>
      <c r="L126" s="143" t="s">
        <v>198</v>
      </c>
      <c r="M126" s="44"/>
      <c r="N126" s="44"/>
      <c r="O126" s="46">
        <f>SUM(O122:O125)</f>
        <v>1006.3492063492067</v>
      </c>
      <c r="P126" s="111" t="s">
        <v>199</v>
      </c>
    </row>
    <row r="127" spans="6:16" ht="16.5" thickTop="1" thickBot="1">
      <c r="F127" s="189" t="str">
        <f>Stock21[[#Headers],[Opslag - Zaden]]</f>
        <v>Opslag - Zaden</v>
      </c>
      <c r="G127" s="103"/>
      <c r="H127" s="103"/>
      <c r="I127" s="43"/>
      <c r="J127" s="176"/>
      <c r="L127" s="125" t="s">
        <v>200</v>
      </c>
      <c r="M127" s="103"/>
      <c r="N127" s="103"/>
      <c r="O127" s="107">
        <f>IFERROR(O126/O118,0)</f>
        <v>100.63492063492068</v>
      </c>
      <c r="P127" s="56" t="s">
        <v>164</v>
      </c>
    </row>
    <row r="128" spans="6:16" ht="16.5" thickTop="1" thickBot="1">
      <c r="F128" s="178" t="s">
        <v>114</v>
      </c>
      <c r="G128" s="49" t="s">
        <v>79</v>
      </c>
      <c r="H128" s="45"/>
      <c r="I128" s="48" cm="1">
        <f t="array" ref="I128">IF(ISBLANK(H128),INDEX(Stock21[[#All],[Geen]:[Waarde MIN]],_xlfn.XMATCH(Riet!F128,Stock21[[#All],[Opslag - Zaden]]),_xlfn.XMATCH(Riet!G128,Stock21[[#Headers],[Geen]:[Waarde MIN]])),H128)</f>
        <v>0</v>
      </c>
      <c r="J128" s="176" t="s">
        <v>176</v>
      </c>
      <c r="L128" s="55"/>
      <c r="M128" s="103"/>
      <c r="N128" s="103"/>
      <c r="O128" s="103"/>
      <c r="P128" s="56"/>
    </row>
    <row r="129" spans="2:16" ht="16.5" thickTop="1" thickBot="1">
      <c r="F129" s="184" t="s">
        <v>202</v>
      </c>
      <c r="G129" s="103"/>
      <c r="H129" s="103"/>
      <c r="I129" s="43"/>
      <c r="J129" s="176"/>
      <c r="L129" s="55"/>
      <c r="M129" s="103"/>
      <c r="N129" s="103"/>
      <c r="O129" s="103"/>
      <c r="P129" s="56"/>
    </row>
    <row r="130" spans="2:16" ht="16.5" thickTop="1" thickBot="1">
      <c r="F130" s="178" t="s">
        <v>203</v>
      </c>
      <c r="G130" s="49" t="s">
        <v>129</v>
      </c>
      <c r="H130" s="45"/>
      <c r="I130" s="108" cm="1">
        <f t="array" ref="I130">IF(ISBLANK(H130),INDEX(StockPluis[[#All],[Geen]:[Waarde MIN]],_xlfn.XMATCH(Riet!F130,StockPluis[[#All],[DS inhoud big bag]]),_xlfn.XMATCH(Riet!G130,StockPluis[[#Headers],[Geen]:[Waarde MIN]])),H130)</f>
        <v>1000</v>
      </c>
      <c r="J130" s="181" t="s">
        <v>204</v>
      </c>
      <c r="L130" s="55"/>
      <c r="M130" s="103"/>
      <c r="N130" s="103"/>
      <c r="O130" s="103"/>
      <c r="P130" s="56"/>
    </row>
    <row r="131" spans="2:16" ht="16" thickTop="1">
      <c r="F131" s="182" t="s">
        <v>205</v>
      </c>
      <c r="G131" s="103"/>
      <c r="H131" s="103"/>
      <c r="I131" s="107">
        <f>IF(F126='DATA - Variabelen &amp; waarden'!B368,I130/1000*I126,0)</f>
        <v>0</v>
      </c>
      <c r="J131" s="176" t="s">
        <v>206</v>
      </c>
      <c r="L131" s="55"/>
      <c r="M131" s="103"/>
      <c r="N131" s="103"/>
      <c r="O131" s="103"/>
      <c r="P131" s="56"/>
    </row>
    <row r="132" spans="2:16">
      <c r="F132" s="182" t="s">
        <v>207</v>
      </c>
      <c r="G132" s="103"/>
      <c r="H132" s="103"/>
      <c r="I132" s="117">
        <f>IF(F128='DATA - Variabelen &amp; waarden'!B380,Riet!I130/1000*Riet!I128,0)</f>
        <v>0</v>
      </c>
      <c r="J132" s="176" t="s">
        <v>206</v>
      </c>
      <c r="L132" s="55"/>
      <c r="M132" s="103"/>
      <c r="N132" s="103"/>
      <c r="O132" s="103"/>
      <c r="P132" s="56"/>
    </row>
    <row r="133" spans="2:16">
      <c r="F133" s="57"/>
      <c r="G133" s="104"/>
      <c r="H133" s="104"/>
      <c r="I133" s="104"/>
      <c r="J133" s="58"/>
      <c r="L133" s="57"/>
      <c r="M133" s="104"/>
      <c r="N133" s="104"/>
      <c r="O133" s="104"/>
      <c r="P133" s="58"/>
    </row>
    <row r="134" spans="2:16" s="202" customFormat="1">
      <c r="B134" s="204"/>
      <c r="C134" s="204"/>
    </row>
    <row r="135" spans="2:16" s="202" customFormat="1"/>
    <row r="136" spans="2:16" s="202" customFormat="1">
      <c r="B136" s="206"/>
    </row>
    <row r="137" spans="2:16" s="202" customFormat="1">
      <c r="B137" s="205"/>
    </row>
    <row r="138" spans="2:16" s="202" customFormat="1"/>
    <row r="139" spans="2:16" s="202" customFormat="1">
      <c r="B139" s="204"/>
      <c r="I139" s="203"/>
    </row>
    <row r="140" spans="2:16" s="202" customFormat="1">
      <c r="I140" s="203"/>
    </row>
    <row r="141" spans="2:16" s="202" customFormat="1">
      <c r="I141" s="203"/>
    </row>
    <row r="142" spans="2:16">
      <c r="B142" s="39"/>
    </row>
    <row r="145" spans="2:3">
      <c r="B145" s="39"/>
      <c r="C145" s="39"/>
    </row>
  </sheetData>
  <mergeCells count="5">
    <mergeCell ref="C42:D42"/>
    <mergeCell ref="C51:D51"/>
    <mergeCell ref="C90:D90"/>
    <mergeCell ref="C94:D94"/>
    <mergeCell ref="C98:D98"/>
  </mergeCells>
  <conditionalFormatting sqref="F71:J74 G79:J79">
    <cfRule type="expression" dxfId="467" priority="2">
      <formula>$F$67="Zaaien"</formula>
    </cfRule>
  </conditionalFormatting>
  <conditionalFormatting sqref="F78:J78">
    <cfRule type="expression" dxfId="466" priority="4">
      <formula>$F$67="Zaaien"</formula>
    </cfRule>
  </conditionalFormatting>
  <conditionalFormatting sqref="F75:J77">
    <cfRule type="expression" dxfId="465" priority="3">
      <formula>$F$67="Planten"</formula>
    </cfRule>
  </conditionalFormatting>
  <conditionalFormatting sqref="F79">
    <cfRule type="expression" dxfId="464" priority="1">
      <formula>$F$67="Planten"</formula>
    </cfRule>
  </conditionalFormatting>
  <conditionalFormatting sqref="L93 F133:J133 L133:P133">
    <cfRule type="expression" dxfId="463" priority="5">
      <formula>$M$89="Nee"</formula>
    </cfRule>
  </conditionalFormatting>
  <dataValidations count="1">
    <dataValidation type="list" allowBlank="1" showInputMessage="1" showErrorMessage="1" sqref="M94" xr:uid="{A4F05035-E100-2348-8847-213074543431}">
      <formula1>$B$91:$B$92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7D4C4278-FBFB-0F4D-9FD9-4C6288DB883E}">
          <x14:formula1>
            <xm:f>'DATA - Variabelen &amp; waarden'!$B$7:$B$20</xm:f>
          </x14:formula1>
          <xm:sqref>F43</xm:sqref>
        </x14:dataValidation>
        <x14:dataValidation type="list" allowBlank="1" showInputMessage="1" showErrorMessage="1" xr:uid="{5815AE59-52F9-5C4D-BF0D-2C38AF42BCAF}">
          <x14:formula1>
            <xm:f>'DATA - Variabelen &amp; waarden'!$B$106:$B$112</xm:f>
          </x14:formula1>
          <xm:sqref>F65</xm:sqref>
        </x14:dataValidation>
        <x14:dataValidation type="list" allowBlank="1" showInputMessage="1" showErrorMessage="1" xr:uid="{66005C16-C159-714B-8166-30130F36D67D}">
          <x14:formula1>
            <xm:f>'DATA - Variabelen &amp; waarden'!$B$42:$B$43</xm:f>
          </x14:formula1>
          <xm:sqref>F67</xm:sqref>
        </x14:dataValidation>
        <x14:dataValidation type="list" allowBlank="1" showInputMessage="1" showErrorMessage="1" xr:uid="{7436722E-A7BB-1340-B753-4A11B8D4CA45}">
          <x14:formula1>
            <xm:f>'DATA - Variabelen &amp; waarden'!$B$388:$B$390</xm:f>
          </x14:formula1>
          <xm:sqref>L111 L107</xm:sqref>
        </x14:dataValidation>
        <x14:dataValidation type="list" allowBlank="1" showInputMessage="1" showErrorMessage="1" xr:uid="{9D462DAB-365A-604F-BAB9-680225BAFCC0}">
          <x14:formula1>
            <xm:f>'DATA - Variabelen &amp; waarden'!$D$387:$G$387</xm:f>
          </x14:formula1>
          <xm:sqref>M111 M107</xm:sqref>
        </x14:dataValidation>
        <x14:dataValidation type="list" allowBlank="1" showInputMessage="1" showErrorMessage="1" xr:uid="{0A21BF82-B8A5-2F46-8C34-C1E0EB4A5B12}">
          <x14:formula1>
            <xm:f>'DATA - Variabelen &amp; waarden'!$B$397:$B$403</xm:f>
          </x14:formula1>
          <xm:sqref>L115</xm:sqref>
        </x14:dataValidation>
        <x14:dataValidation type="list" allowBlank="1" showInputMessage="1" showErrorMessage="1" xr:uid="{9AA5E48D-5D4B-5D4D-80E2-B5DDE6A1652C}">
          <x14:formula1>
            <xm:f>'DATA - Variabelen &amp; waarden'!$D$396:$G$396</xm:f>
          </x14:formula1>
          <xm:sqref>M115</xm:sqref>
        </x14:dataValidation>
        <x14:dataValidation type="list" allowBlank="1" showInputMessage="1" showErrorMessage="1" xr:uid="{D8157B5C-1D5F-7F4A-8552-9650E92ED124}">
          <x14:formula1>
            <xm:f>'DATA - Variabelen &amp; waarden'!$D$405:$G$405</xm:f>
          </x14:formula1>
          <xm:sqref>M116</xm:sqref>
        </x14:dataValidation>
        <x14:dataValidation type="list" allowBlank="1" showInputMessage="1" showErrorMessage="1" xr:uid="{FC67815C-3A76-1D4E-9181-B4A391657796}">
          <x14:formula1>
            <xm:f>'DATA - Variabelen &amp; waarden'!$D$375:$G$375</xm:f>
          </x14:formula1>
          <xm:sqref>G128</xm:sqref>
        </x14:dataValidation>
        <x14:dataValidation type="list" allowBlank="1" showInputMessage="1" showErrorMessage="1" xr:uid="{FA9200FF-FA1C-5446-97D6-91B6D90B637B}">
          <x14:formula1>
            <xm:f>'DATA - Variabelen &amp; waarden'!$D$363:$G$363</xm:f>
          </x14:formula1>
          <xm:sqref>G126</xm:sqref>
        </x14:dataValidation>
        <x14:dataValidation type="list" allowBlank="1" showInputMessage="1" showErrorMessage="1" xr:uid="{F6FB0892-8A0B-ED44-A5CE-EDB40A5C926E}">
          <x14:formula1>
            <xm:f>'DATA - Variabelen &amp; waarden'!$D$331:$G$331</xm:f>
          </x14:formula1>
          <xm:sqref>G121</xm:sqref>
        </x14:dataValidation>
        <x14:dataValidation type="list" allowBlank="1" showInputMessage="1" showErrorMessage="1" xr:uid="{2D83468E-2D8E-F643-8777-4C3DD9BFA842}">
          <x14:formula1>
            <xm:f>'DATA - Variabelen &amp; waarden'!$D$315:$G$315</xm:f>
          </x14:formula1>
          <xm:sqref>G118</xm:sqref>
        </x14:dataValidation>
        <x14:dataValidation type="list" allowBlank="1" showInputMessage="1" showErrorMessage="1" xr:uid="{B1F9B2C2-4E94-724E-B59A-BC4EC15875C2}">
          <x14:formula1>
            <xm:f>'DATA - Variabelen &amp; waarden'!$B$316:$B$321</xm:f>
          </x14:formula1>
          <xm:sqref>F118</xm:sqref>
        </x14:dataValidation>
        <x14:dataValidation type="list" allowBlank="1" showInputMessage="1" showErrorMessage="1" xr:uid="{5BA67D28-BD25-3F46-8A04-1149BA5ADA82}">
          <x14:formula1>
            <xm:f>'DATA - Variabelen &amp; waarden'!$D$309:$G$309</xm:f>
          </x14:formula1>
          <xm:sqref>G104</xm:sqref>
        </x14:dataValidation>
        <x14:dataValidation type="list" allowBlank="1" showInputMessage="1" showErrorMessage="1" xr:uid="{9B3D2C5E-0A85-0E40-8988-96DC3498FE8A}">
          <x14:formula1>
            <xm:f>'DATA - Variabelen &amp; waarden'!$D$287:$G$287</xm:f>
          </x14:formula1>
          <xm:sqref>G101</xm:sqref>
        </x14:dataValidation>
        <x14:dataValidation type="list" allowBlank="1" showInputMessage="1" showErrorMessage="1" xr:uid="{A17A15A2-874F-6F4F-92D9-2E63BAA32649}">
          <x14:formula1>
            <xm:f>'DATA - Variabelen &amp; waarden'!$D$187:$G$187</xm:f>
          </x14:formula1>
          <xm:sqref>G90:G91 M91:M92 G94:G95</xm:sqref>
        </x14:dataValidation>
        <x14:dataValidation type="list" allowBlank="1" showInputMessage="1" showErrorMessage="1" xr:uid="{67350294-0620-2948-9A2C-93554C9F9F1D}">
          <x14:formula1>
            <xm:f>'DATA - Variabelen &amp; waarden'!$B$288:$B$296</xm:f>
          </x14:formula1>
          <xm:sqref>F101</xm:sqref>
        </x14:dataValidation>
        <x14:dataValidation type="list" allowBlank="1" showInputMessage="1" showErrorMessage="1" xr:uid="{EBA068F3-118B-734A-BC27-807948FEEB26}">
          <x14:formula1>
            <xm:f>'DATA - Variabelen &amp; waarden'!$D$92:$G$92</xm:f>
          </x14:formula1>
          <xm:sqref>M79:M80 M82</xm:sqref>
        </x14:dataValidation>
        <x14:dataValidation type="list" allowBlank="1" showInputMessage="1" showErrorMessage="1" xr:uid="{2B40D480-79BE-7D4C-9C0A-AEF147A804A1}">
          <x14:formula1>
            <xm:f>'DATA - Variabelen &amp; waarden'!$D$83:$G$83</xm:f>
          </x14:formula1>
          <xm:sqref>M70:M76</xm:sqref>
        </x14:dataValidation>
        <x14:dataValidation type="list" allowBlank="1" showInputMessage="1" showErrorMessage="1" xr:uid="{43BA6358-6657-FB4C-A32B-4A7337AC8CD5}">
          <x14:formula1>
            <xm:f>'DATA - Variabelen &amp; waarden'!$D$79:$G$79</xm:f>
          </x14:formula1>
          <xm:sqref>M66:M67</xm:sqref>
        </x14:dataValidation>
        <x14:dataValidation type="list" allowBlank="1" showInputMessage="1" showErrorMessage="1" xr:uid="{BA5C990B-B78D-D342-B205-8321BC6986B7}">
          <x14:formula1>
            <xm:f>'DATA - Variabelen &amp; waarden'!$D$74:$G$74</xm:f>
          </x14:formula1>
          <xm:sqref>M61:M63</xm:sqref>
        </x14:dataValidation>
        <x14:dataValidation type="list" allowBlank="1" showInputMessage="1" showErrorMessage="1" xr:uid="{51DECDFF-85A9-634A-A437-81E353490B0D}">
          <x14:formula1>
            <xm:f>'DATA - Variabelen &amp; waarden'!$D$56:$G$56</xm:f>
          </x14:formula1>
          <xm:sqref>M51:M54 M56:M57 M43:M46 M48:M49</xm:sqref>
        </x14:dataValidation>
        <x14:dataValidation type="list" allowBlank="1" showInputMessage="1" showErrorMessage="1" xr:uid="{267D18E8-5071-9F4D-9271-008E88BC7326}">
          <x14:formula1>
            <xm:f>'DATA - Variabelen &amp; waarden'!$D$45:$G$45</xm:f>
          </x14:formula1>
          <xm:sqref>G69:G73 G75 G79 G77</xm:sqref>
        </x14:dataValidation>
        <x14:dataValidation type="list" allowBlank="1" showInputMessage="1" showErrorMessage="1" xr:uid="{02A07959-3E2D-9345-A5A7-0FF9FDFC18C8}">
          <x14:formula1>
            <xm:f>'DATA - Variabelen &amp; waarden'!$D$22:$G$22</xm:f>
          </x14:formula1>
          <xm:sqref>G46:G47 G49:G50 G58:G62 G52:G53 G55:G56</xm:sqref>
        </x14:dataValidation>
        <x14:dataValidation type="list" allowBlank="1" showInputMessage="1" showErrorMessage="1" xr:uid="{2561C7F6-1CAD-BF40-A603-F61348A333B1}">
          <x14:formula1>
            <xm:f>'DATA - Variabelen &amp; waarden'!$D$340:$G$340</xm:f>
          </x14:formula1>
          <xm:sqref>G109</xm:sqref>
        </x14:dataValidation>
        <x14:dataValidation type="list" allowBlank="1" showInputMessage="1" showErrorMessage="1" xr:uid="{A20D302C-5E93-2245-A439-35D2727FDFCA}">
          <x14:formula1>
            <xm:f>'DATA - Variabelen &amp; waarden'!$D$348:$G$348</xm:f>
          </x14:formula1>
          <xm:sqref>G111</xm:sqref>
        </x14:dataValidation>
        <x14:dataValidation type="list" allowBlank="1" showInputMessage="1" showErrorMessage="1" xr:uid="{112AA9B6-AC4B-AA48-83AF-C0C98A7858D6}">
          <x14:formula1>
            <xm:f>'DATA - Variabelen &amp; waarden'!$B$349:$B$355</xm:f>
          </x14:formula1>
          <xm:sqref>F111</xm:sqref>
        </x14:dataValidation>
        <x14:dataValidation type="list" allowBlank="1" showInputMessage="1" showErrorMessage="1" xr:uid="{6717D457-5AE4-6A42-90D4-1CFEABAB990C}">
          <x14:formula1>
            <xm:f>'DATA - Variabelen &amp; waarden'!$B$358:$B$361</xm:f>
          </x14:formula1>
          <xm:sqref>F113</xm:sqref>
        </x14:dataValidation>
        <x14:dataValidation type="list" allowBlank="1" showInputMessage="1" showErrorMessage="1" xr:uid="{CE221A12-0D16-4B4E-9476-803C8582D70B}">
          <x14:formula1>
            <xm:f>'DATA - Variabelen &amp; waarden'!$D$357:$G$357</xm:f>
          </x14:formula1>
          <xm:sqref>G113</xm:sqref>
        </x14:dataValidation>
        <x14:dataValidation type="list" allowBlank="1" showInputMessage="1" showErrorMessage="1" xr:uid="{D55C506A-8B01-1946-A9EF-6B22B118D1DD}">
          <x14:formula1>
            <xm:f>'DATA - Variabelen &amp; waarden'!$B$371:$B$373</xm:f>
          </x14:formula1>
          <xm:sqref>F130</xm:sqref>
        </x14:dataValidation>
        <x14:dataValidation type="list" allowBlank="1" showInputMessage="1" showErrorMessage="1" xr:uid="{845D7830-3544-374A-A276-C8D0B3D8C1D2}">
          <x14:formula1>
            <xm:f>'DATA - Variabelen &amp; waarden'!$D$370:$G$370</xm:f>
          </x14:formula1>
          <xm:sqref>G130</xm:sqref>
        </x14:dataValidation>
        <x14:dataValidation type="list" allowBlank="1" showInputMessage="1" showErrorMessage="1" xr:uid="{E4BAB9D4-845B-8243-B0B6-342A1FDB1D8C}">
          <x14:formula1>
            <xm:f>'DATA - Variabelen &amp; waarden'!$D$382:$G$382</xm:f>
          </x14:formula1>
          <xm:sqref>M100</xm:sqref>
        </x14:dataValidation>
        <x14:dataValidation type="list" allowBlank="1" showInputMessage="1" showErrorMessage="1" xr:uid="{1E2CD5ED-25BA-214C-8685-B1C3FDA1F216}">
          <x14:formula1>
            <xm:f>'DATA - Variabelen &amp; waarden'!$B$393:$B$394</xm:f>
          </x14:formula1>
          <xm:sqref>M89</xm:sqref>
        </x14:dataValidation>
        <x14:dataValidation type="list" allowBlank="1" showInputMessage="1" showErrorMessage="1" xr:uid="{A328EE2A-9EEA-3340-9FD4-2ACBC44ABF2B}">
          <x14:formula1>
            <xm:f>'DATA - Variabelen &amp; waarden'!$B$341:$B$346</xm:f>
          </x14:formula1>
          <xm:sqref>F109</xm:sqref>
        </x14:dataValidation>
        <x14:dataValidation type="list" allowBlank="1" showInputMessage="1" showErrorMessage="1" xr:uid="{CBB07E1A-0E07-0A4E-8625-B5D7CC595389}">
          <x14:formula1>
            <xm:f>'DATA - Variabelen &amp; waarden'!$D$414:$G$414</xm:f>
          </x14:formula1>
          <xm:sqref>M103</xm:sqref>
        </x14:dataValidation>
        <x14:dataValidation type="list" allowBlank="1" showInputMessage="1" showErrorMessage="1" xr:uid="{593A55BF-3D59-5F48-967B-87074FAF7A9D}">
          <x14:formula1>
            <xm:f>'DATA - Variabelen &amp; waarden'!$D$298:$G$298</xm:f>
          </x14:formula1>
          <xm:sqref>G102 G105</xm:sqref>
        </x14:dataValidation>
        <x14:dataValidation type="list" allowBlank="1" showInputMessage="1" showErrorMessage="1" xr:uid="{410727A7-6E4F-8D40-A4D1-40FF40E09753}">
          <x14:formula1>
            <xm:f>'DATA - Variabelen &amp; waarden'!$D$323:$G$323</xm:f>
          </x14:formula1>
          <xm:sqref>G119 G122</xm:sqref>
        </x14:dataValidation>
        <x14:dataValidation type="list" allowBlank="1" showInputMessage="1" showErrorMessage="1" xr:uid="{64822A2A-865E-3A40-8C53-2B8E121C066B}">
          <x14:formula1>
            <xm:f>'DATA - Variabelen &amp; waarden'!$B$364:$B$368</xm:f>
          </x14:formula1>
          <xm:sqref>F126</xm:sqref>
        </x14:dataValidation>
        <x14:dataValidation type="list" allowBlank="1" showInputMessage="1" showErrorMessage="1" xr:uid="{83DABEE0-9475-D34A-8E65-884BC04A7BEE}">
          <x14:formula1>
            <xm:f>'DATA - Variabelen &amp; waarden'!$B$376:$B$380</xm:f>
          </x14:formula1>
          <xm:sqref>F128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11FA-AB27-0B41-9ED2-663363FA0258}">
  <sheetPr>
    <tabColor theme="9" tint="0.39997558519241921"/>
  </sheetPr>
  <dimension ref="B1:Z145"/>
  <sheetViews>
    <sheetView showGridLines="0" zoomScaleNormal="100" workbookViewId="0">
      <pane ySplit="2" topLeftCell="A78" activePane="bottomLeft" state="frozen"/>
      <selection pane="bottomLeft" activeCell="F27" sqref="F27"/>
    </sheetView>
  </sheetViews>
  <sheetFormatPr defaultColWidth="11" defaultRowHeight="15.5"/>
  <cols>
    <col min="1" max="1" width="3" customWidth="1"/>
    <col min="2" max="2" width="35.9140625" customWidth="1"/>
    <col min="3" max="3" width="13.4140625" customWidth="1"/>
    <col min="4" max="4" width="10.9140625" customWidth="1"/>
    <col min="5" max="5" width="3" customWidth="1"/>
    <col min="6" max="6" width="34.9140625" customWidth="1"/>
    <col min="7" max="7" width="13.4140625" customWidth="1"/>
    <col min="8" max="8" width="10.9140625" customWidth="1"/>
    <col min="9" max="9" width="10.9140625" style="3" customWidth="1"/>
    <col min="10" max="10" width="10.9140625" customWidth="1"/>
    <col min="11" max="11" width="3" customWidth="1"/>
    <col min="12" max="12" width="32.9140625" customWidth="1"/>
    <col min="13" max="13" width="13.4140625" customWidth="1"/>
    <col min="14" max="14" width="12.58203125" customWidth="1"/>
    <col min="15" max="15" width="13.4140625" customWidth="1"/>
    <col min="16" max="16" width="10.9140625" customWidth="1"/>
    <col min="17" max="17" width="3" customWidth="1"/>
    <col min="18" max="18" width="12.58203125" customWidth="1"/>
    <col min="19" max="19" width="13.4140625" customWidth="1"/>
    <col min="20" max="20" width="10.9140625" customWidth="1"/>
    <col min="21" max="21" width="3" customWidth="1"/>
    <col min="22" max="22" width="32.9140625" customWidth="1"/>
    <col min="23" max="23" width="13.4140625" customWidth="1"/>
    <col min="24" max="24" width="12.58203125" customWidth="1"/>
    <col min="25" max="25" width="13.4140625" customWidth="1"/>
    <col min="27" max="27" width="3" customWidth="1"/>
    <col min="28" max="28" width="32.9140625" customWidth="1"/>
    <col min="29" max="29" width="13.4140625" customWidth="1"/>
    <col min="30" max="30" width="12.58203125" customWidth="1"/>
    <col min="31" max="31" width="13.4140625" customWidth="1"/>
    <col min="32" max="32" width="10.9140625" customWidth="1"/>
    <col min="33" max="33" width="3" customWidth="1"/>
    <col min="34" max="34" width="13.4140625" customWidth="1"/>
    <col min="39" max="39" width="10.9140625" customWidth="1"/>
    <col min="40" max="40" width="3" customWidth="1"/>
    <col min="41" max="42" width="28.9140625" customWidth="1"/>
    <col min="43" max="43" width="13.4140625" customWidth="1"/>
  </cols>
  <sheetData>
    <row r="1" spans="2:26">
      <c r="D1" s="35"/>
      <c r="I1"/>
    </row>
    <row r="2" spans="2:26" ht="18.5">
      <c r="B2" s="66" t="s">
        <v>85</v>
      </c>
      <c r="C2" s="69"/>
      <c r="D2" s="70"/>
      <c r="E2" s="69"/>
      <c r="F2" s="71"/>
      <c r="G2" s="69"/>
      <c r="H2" s="69"/>
      <c r="I2" s="71"/>
      <c r="J2" s="69"/>
      <c r="K2" s="69"/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2:26">
      <c r="D3" s="72"/>
      <c r="F3" s="4"/>
      <c r="I3" s="4"/>
      <c r="L3" s="4"/>
    </row>
    <row r="4" spans="2:26">
      <c r="B4" s="61" t="s">
        <v>86</v>
      </c>
      <c r="C4" s="218"/>
      <c r="D4" s="60"/>
      <c r="F4" s="4"/>
      <c r="I4" s="4"/>
      <c r="L4" s="4"/>
    </row>
    <row r="5" spans="2:26">
      <c r="B5" s="81"/>
      <c r="C5" s="226"/>
      <c r="D5" s="56"/>
      <c r="F5" s="4"/>
      <c r="I5" s="4"/>
      <c r="L5" s="4"/>
    </row>
    <row r="6" spans="2:26">
      <c r="B6" s="230" t="s">
        <v>87</v>
      </c>
      <c r="C6" s="228">
        <f>SUM(C7,C10)</f>
        <v>1262.9100000000001</v>
      </c>
      <c r="D6" s="56" t="s">
        <v>88</v>
      </c>
      <c r="F6" s="4"/>
      <c r="I6" s="4"/>
      <c r="L6" s="4"/>
    </row>
    <row r="7" spans="2:26">
      <c r="B7" s="76" t="s">
        <v>89</v>
      </c>
      <c r="C7" s="46">
        <f>SUM(C8:C9)</f>
        <v>1000</v>
      </c>
      <c r="D7" s="56"/>
      <c r="F7" s="4"/>
      <c r="I7" s="4"/>
      <c r="L7" s="4"/>
    </row>
    <row r="8" spans="2:26">
      <c r="B8" s="231" t="str">
        <f>B95</f>
        <v>Miscanthus</v>
      </c>
      <c r="C8" s="42">
        <f>C95</f>
        <v>1000</v>
      </c>
      <c r="D8" s="56"/>
      <c r="F8" s="4"/>
      <c r="I8" s="4"/>
      <c r="L8" s="4"/>
    </row>
    <row r="9" spans="2:26">
      <c r="B9" s="231" t="str">
        <f>B96</f>
        <v>Opbrengst 2</v>
      </c>
      <c r="C9" s="42">
        <f>C96</f>
        <v>0</v>
      </c>
      <c r="D9" s="56"/>
      <c r="F9" s="4"/>
      <c r="I9" s="4"/>
      <c r="L9" s="4"/>
    </row>
    <row r="10" spans="2:26">
      <c r="B10" s="143" t="s">
        <v>90</v>
      </c>
      <c r="C10" s="46">
        <f>SUM(C11:C12)</f>
        <v>262.91000000000003</v>
      </c>
      <c r="D10" s="56" t="s">
        <v>88</v>
      </c>
      <c r="F10" s="4"/>
      <c r="I10" s="4"/>
      <c r="L10" s="4"/>
    </row>
    <row r="11" spans="2:26">
      <c r="B11" s="231" t="s">
        <v>91</v>
      </c>
      <c r="C11" s="227">
        <v>262.91000000000003</v>
      </c>
      <c r="D11" s="56"/>
      <c r="F11" s="4"/>
      <c r="I11" s="4"/>
      <c r="L11" s="4"/>
    </row>
    <row r="12" spans="2:26">
      <c r="B12" s="231" t="s">
        <v>92</v>
      </c>
      <c r="C12" s="126"/>
      <c r="D12" s="56"/>
      <c r="F12" s="4"/>
      <c r="I12" s="4"/>
      <c r="L12" s="4"/>
    </row>
    <row r="13" spans="2:26">
      <c r="B13" s="81"/>
      <c r="C13" s="226"/>
      <c r="D13" s="56"/>
      <c r="F13" s="4"/>
      <c r="I13" s="4"/>
      <c r="L13" s="4"/>
    </row>
    <row r="14" spans="2:26">
      <c r="B14" s="230" t="s">
        <v>81</v>
      </c>
      <c r="C14" s="228">
        <f>SUM(C15:C20)</f>
        <v>1230.1500000000001</v>
      </c>
      <c r="D14" s="56" t="s">
        <v>88</v>
      </c>
      <c r="F14" s="4"/>
      <c r="I14" s="4"/>
      <c r="L14" s="4"/>
    </row>
    <row r="15" spans="2:26">
      <c r="B15" s="231" t="str">
        <f t="shared" ref="B15:C19" si="0">B43</f>
        <v>Grondgebruik</v>
      </c>
      <c r="C15" s="43">
        <f t="shared" si="0"/>
        <v>486</v>
      </c>
      <c r="D15" s="111"/>
      <c r="F15" s="4"/>
      <c r="I15" s="4"/>
      <c r="L15" s="4"/>
    </row>
    <row r="16" spans="2:26">
      <c r="B16" s="231" t="str">
        <f t="shared" si="0"/>
        <v>Gewasverzorging</v>
      </c>
      <c r="C16" s="43">
        <f t="shared" si="0"/>
        <v>240</v>
      </c>
      <c r="D16" s="56"/>
      <c r="F16" s="4"/>
      <c r="I16" s="4"/>
      <c r="L16" s="4"/>
    </row>
    <row r="17" spans="2:12">
      <c r="B17" s="231" t="str">
        <f t="shared" si="0"/>
        <v>Energieverbruik en water</v>
      </c>
      <c r="C17" s="43">
        <f t="shared" si="0"/>
        <v>0</v>
      </c>
      <c r="D17" s="56"/>
      <c r="F17" s="4"/>
      <c r="I17" s="4"/>
      <c r="L17" s="4"/>
    </row>
    <row r="18" spans="2:12">
      <c r="B18" s="231" t="str">
        <f t="shared" si="0"/>
        <v>Belastingen en verzekeringen</v>
      </c>
      <c r="C18" s="43">
        <f t="shared" si="0"/>
        <v>175</v>
      </c>
      <c r="D18" s="56"/>
      <c r="F18" s="4"/>
      <c r="I18" s="4"/>
      <c r="L18" s="4"/>
    </row>
    <row r="19" spans="2:12">
      <c r="B19" s="231" t="str">
        <f t="shared" si="0"/>
        <v>Onderhoud</v>
      </c>
      <c r="C19" s="43">
        <f t="shared" si="0"/>
        <v>25</v>
      </c>
      <c r="D19" s="56"/>
      <c r="F19" s="4"/>
      <c r="I19" s="4"/>
      <c r="L19" s="4"/>
    </row>
    <row r="20" spans="2:12">
      <c r="B20" s="231" t="s">
        <v>93</v>
      </c>
      <c r="C20" s="43">
        <f>C104</f>
        <v>304.14999999999998</v>
      </c>
      <c r="D20" s="56"/>
      <c r="F20" s="4"/>
      <c r="I20" s="4"/>
      <c r="L20" s="4"/>
    </row>
    <row r="21" spans="2:12">
      <c r="B21" s="55"/>
      <c r="C21" s="103"/>
      <c r="D21" s="56"/>
      <c r="F21" s="4"/>
      <c r="I21" s="4"/>
      <c r="L21" s="4"/>
    </row>
    <row r="22" spans="2:12">
      <c r="B22" s="230" t="s">
        <v>82</v>
      </c>
      <c r="C22" s="228">
        <f>C6-C14</f>
        <v>32.759999999999991</v>
      </c>
      <c r="D22" s="56" t="s">
        <v>88</v>
      </c>
      <c r="F22" s="4"/>
      <c r="I22" s="4"/>
      <c r="L22" s="4"/>
    </row>
    <row r="23" spans="2:12">
      <c r="B23" s="55"/>
      <c r="C23" s="103"/>
      <c r="D23" s="56"/>
      <c r="F23" s="4"/>
      <c r="I23" s="4"/>
      <c r="L23" s="4"/>
    </row>
    <row r="24" spans="2:12">
      <c r="B24" s="230" t="s">
        <v>83</v>
      </c>
      <c r="C24" s="228">
        <f>SUM(C25:C31)</f>
        <v>420.53408541435169</v>
      </c>
      <c r="D24" s="56" t="s">
        <v>88</v>
      </c>
      <c r="F24" s="4"/>
      <c r="I24" s="4"/>
      <c r="L24" s="4"/>
    </row>
    <row r="25" spans="2:12">
      <c r="B25" s="231" t="str">
        <f>B48</f>
        <v>Afschrijving &amp; aflossing teeltinvesteringen</v>
      </c>
      <c r="C25" s="42">
        <f>C48</f>
        <v>420.53408541435169</v>
      </c>
      <c r="D25" s="56"/>
      <c r="F25" s="4"/>
      <c r="I25" s="4"/>
      <c r="L25" s="4"/>
    </row>
    <row r="26" spans="2:12">
      <c r="B26" s="231" t="s">
        <v>94</v>
      </c>
      <c r="C26" s="126"/>
      <c r="D26" s="56"/>
      <c r="F26" s="4"/>
      <c r="I26" s="4"/>
      <c r="L26" s="4"/>
    </row>
    <row r="27" spans="2:12">
      <c r="B27" s="231" t="s">
        <v>95</v>
      </c>
      <c r="C27" s="126"/>
      <c r="D27" s="56"/>
      <c r="F27" s="4"/>
      <c r="I27" s="4"/>
      <c r="L27" s="4"/>
    </row>
    <row r="28" spans="2:12">
      <c r="B28" s="231" t="s">
        <v>96</v>
      </c>
      <c r="C28" s="126"/>
      <c r="D28" s="56"/>
      <c r="F28" s="4"/>
      <c r="I28" s="4"/>
      <c r="L28" s="4"/>
    </row>
    <row r="29" spans="2:12">
      <c r="B29" s="231" t="s">
        <v>97</v>
      </c>
      <c r="C29" s="126"/>
      <c r="D29" s="56"/>
      <c r="F29" s="4"/>
      <c r="I29" s="4"/>
      <c r="L29" s="4"/>
    </row>
    <row r="30" spans="2:12">
      <c r="B30" s="231" t="s">
        <v>98</v>
      </c>
      <c r="C30" s="126"/>
      <c r="D30" s="56"/>
      <c r="F30" s="4"/>
      <c r="I30" s="4"/>
      <c r="L30" s="4"/>
    </row>
    <row r="31" spans="2:12">
      <c r="B31" s="231" t="s">
        <v>99</v>
      </c>
      <c r="C31" s="126"/>
      <c r="D31" s="56"/>
      <c r="F31" s="4"/>
      <c r="I31" s="4"/>
      <c r="L31" s="4"/>
    </row>
    <row r="32" spans="2:12">
      <c r="B32" s="55"/>
      <c r="C32" s="43"/>
      <c r="D32" s="56"/>
      <c r="F32" s="4"/>
      <c r="I32" s="4"/>
      <c r="L32" s="4"/>
    </row>
    <row r="33" spans="2:26">
      <c r="B33" s="230" t="s">
        <v>100</v>
      </c>
      <c r="C33" s="228">
        <f>C22-C24</f>
        <v>-387.7740854143517</v>
      </c>
      <c r="D33" s="56" t="s">
        <v>101</v>
      </c>
      <c r="F33" s="4"/>
      <c r="I33" s="4"/>
      <c r="L33" s="4"/>
    </row>
    <row r="34" spans="2:26">
      <c r="B34" s="57"/>
      <c r="C34" s="229"/>
      <c r="D34" s="58"/>
      <c r="F34" s="4"/>
      <c r="I34" s="4"/>
      <c r="L34" s="4"/>
    </row>
    <row r="35" spans="2:26">
      <c r="D35" s="72"/>
      <c r="F35" s="4"/>
      <c r="I35" s="4"/>
      <c r="L35" s="4"/>
    </row>
    <row r="36" spans="2:26" ht="18.5">
      <c r="B36" s="154" t="s">
        <v>102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2:26">
      <c r="I37" s="106"/>
    </row>
    <row r="38" spans="2:26" s="75" customFormat="1" ht="17">
      <c r="B38" s="74" t="s">
        <v>103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40" spans="2:26">
      <c r="B40" s="61" t="s">
        <v>104</v>
      </c>
      <c r="C40" s="218" t="str">
        <f>F65</f>
        <v>Miscanthus</v>
      </c>
      <c r="D40" s="60"/>
      <c r="F40" s="61" t="s">
        <v>105</v>
      </c>
      <c r="G40" s="105"/>
      <c r="H40" s="105"/>
      <c r="I40" s="110"/>
      <c r="J40" s="60"/>
      <c r="L40" s="61" t="s">
        <v>106</v>
      </c>
      <c r="M40" s="105"/>
      <c r="N40" s="105"/>
      <c r="O40" s="105"/>
      <c r="P40" s="60"/>
    </row>
    <row r="41" spans="2:26">
      <c r="B41" s="55"/>
      <c r="C41" s="103"/>
      <c r="D41" s="56"/>
      <c r="F41" s="76" t="s">
        <v>107</v>
      </c>
      <c r="G41" s="103"/>
      <c r="H41" s="103"/>
      <c r="I41" s="73"/>
      <c r="J41" s="56"/>
      <c r="L41" s="81"/>
      <c r="M41" s="103"/>
      <c r="N41" s="103"/>
      <c r="O41" s="103"/>
      <c r="P41" s="56"/>
    </row>
    <row r="42" spans="2:26" ht="16" thickBot="1">
      <c r="B42" s="76" t="s">
        <v>108</v>
      </c>
      <c r="C42" s="340" t="s">
        <v>109</v>
      </c>
      <c r="D42" s="341"/>
      <c r="F42" s="149" t="s">
        <v>110</v>
      </c>
      <c r="G42" s="103"/>
      <c r="H42" s="64" t="s">
        <v>111</v>
      </c>
      <c r="I42" s="43"/>
      <c r="J42" s="56"/>
      <c r="L42" s="163" t="str" cm="1">
        <f t="array" ref="L42:L58">CultCost01[[#All],[Gewasverzorging]]</f>
        <v>Gewasverzorging</v>
      </c>
      <c r="M42" s="63" t="s">
        <v>112</v>
      </c>
      <c r="N42" s="64" t="s">
        <v>111</v>
      </c>
      <c r="O42" s="46">
        <f>SUM(O43:O47,O50,O55,O58)</f>
        <v>240</v>
      </c>
      <c r="P42" s="111" t="s">
        <v>88</v>
      </c>
    </row>
    <row r="43" spans="2:26" ht="16.5" thickTop="1" thickBot="1">
      <c r="B43" s="55" t="str">
        <f>F41</f>
        <v>Grondgebruik</v>
      </c>
      <c r="C43" s="42">
        <f>I43</f>
        <v>486</v>
      </c>
      <c r="D43" s="56" t="s">
        <v>88</v>
      </c>
      <c r="F43" s="62" t="s">
        <v>113</v>
      </c>
      <c r="G43" s="103"/>
      <c r="H43" s="126"/>
      <c r="I43" s="41">
        <f>IF(ISBLANK(H43),_xlfn.XLOOKUP(F43,PachtPrijs[Pachtprijs - per regio],PachtPrijs[Regionorm 2020]),H43)</f>
        <v>486</v>
      </c>
      <c r="J43" s="111" t="s">
        <v>88</v>
      </c>
      <c r="L43" s="55" t="str">
        <v>Meststoffen</v>
      </c>
      <c r="M43" s="49" t="s">
        <v>114</v>
      </c>
      <c r="N43" s="45"/>
      <c r="O43" s="107" cm="1">
        <f t="array" ref="O43">IF(ISBLANK(N43),INDEX(CultCost01[[#All],[Geen]:[Waarde MIN]],_xlfn.XMATCH(Miscanthus!L43,CultCost01[[#All],[Gewasverzorging]]),_xlfn.XMATCH(Miscanthus!M43,CultCost01[[#Headers],[Geen]:[Waarde MIN]])),N43)</f>
        <v>0</v>
      </c>
      <c r="P43" s="56" t="s">
        <v>88</v>
      </c>
    </row>
    <row r="44" spans="2:26" ht="16.5" thickTop="1" thickBot="1">
      <c r="B44" s="55" t="str">
        <f>L42</f>
        <v>Gewasverzorging</v>
      </c>
      <c r="C44" s="42">
        <f>O42</f>
        <v>240</v>
      </c>
      <c r="D44" s="56" t="s">
        <v>88</v>
      </c>
      <c r="F44" s="55"/>
      <c r="G44" s="103"/>
      <c r="H44" s="103"/>
      <c r="I44" s="43"/>
      <c r="J44" s="56"/>
      <c r="L44" s="55" t="str">
        <v>Gewasbeschermingsmiddelen</v>
      </c>
      <c r="M44" s="49" t="s">
        <v>114</v>
      </c>
      <c r="N44" s="45"/>
      <c r="O44" s="107" cm="1">
        <f t="array" ref="O44">IF(ISBLANK(N44),INDEX(CultCost01[[#All],[Geen]:[Waarde MIN]],_xlfn.XMATCH(Miscanthus!L44,CultCost01[[#All],[Gewasverzorging]]),_xlfn.XMATCH(Miscanthus!M44,CultCost01[[#Headers],[Geen]:[Waarde MIN]])),N44)</f>
        <v>0</v>
      </c>
      <c r="P44" s="56" t="s">
        <v>88</v>
      </c>
    </row>
    <row r="45" spans="2:26" ht="16.5" thickTop="1" thickBot="1">
      <c r="B45" s="55" t="str">
        <f>L60</f>
        <v>Energieverbruik en water</v>
      </c>
      <c r="C45" s="42">
        <f>O60</f>
        <v>0</v>
      </c>
      <c r="D45" s="56" t="s">
        <v>88</v>
      </c>
      <c r="F45" s="76" t="s">
        <v>115</v>
      </c>
      <c r="G45" s="63" t="s">
        <v>112</v>
      </c>
      <c r="H45" s="64" t="s">
        <v>111</v>
      </c>
      <c r="I45" s="46">
        <f>SUM(I48,I51,I54,I57,I58,I59,I60,I61,I62)</f>
        <v>400</v>
      </c>
      <c r="J45" s="111" t="s">
        <v>88</v>
      </c>
      <c r="L45" s="114" t="str">
        <v>Ongediertebestrijding - uren</v>
      </c>
      <c r="M45" s="49" t="s">
        <v>126</v>
      </c>
      <c r="N45" s="45"/>
      <c r="O45" s="169" cm="1">
        <f t="array" ref="O45">IF(ISBLANK(N45),INDEX(CultCost01[[#All],[Geen]:[Waarde MIN]],_xlfn.XMATCH(Miscanthus!L45,CultCost01[[#All],[Gewasverzorging]]),_xlfn.XMATCH(Miscanthus!M45,CultCost01[[#Headers],[Geen]:[Waarde MIN]])),N45)</f>
        <v>2.5</v>
      </c>
      <c r="P45" s="116" t="s">
        <v>116</v>
      </c>
    </row>
    <row r="46" spans="2:26" ht="16.5" thickTop="1" thickBot="1">
      <c r="B46" s="55" t="str">
        <f>L65</f>
        <v>Belastingen en verzekeringen</v>
      </c>
      <c r="C46" s="42">
        <f>O65</f>
        <v>175</v>
      </c>
      <c r="D46" s="56" t="s">
        <v>88</v>
      </c>
      <c r="F46" s="114" t="str" cm="1">
        <f t="array" ref="F46:F62">CultInvest01[Teelt - Investeringen perceel]</f>
        <v>Grondverzet - uren per hectare</v>
      </c>
      <c r="G46" s="49" t="s">
        <v>114</v>
      </c>
      <c r="H46" s="45"/>
      <c r="I46" s="108" cm="1">
        <f t="array" ref="I46">IF(ISBLANK(H46),INDEX(CultInvest01[[#All],[Geen]:[Waarde MIN]],_xlfn.XMATCH(Miscanthus!F46,CultInvest01[[#All],[Teelt - Investeringen perceel]]),_xlfn.XMATCH(Miscanthus!G46,CultInvest01[[#Headers],[Geen]:[Waarde MIN]])),H46)</f>
        <v>0</v>
      </c>
      <c r="J46" s="109" t="s">
        <v>116</v>
      </c>
      <c r="L46" s="114" t="str">
        <v>Ongediertebestrijding - tarief</v>
      </c>
      <c r="M46" s="49" t="s">
        <v>79</v>
      </c>
      <c r="N46" s="45"/>
      <c r="O46" s="115" cm="1">
        <f t="array" ref="O46">IF(ISBLANK(N46),INDEX(CultCost01[[#All],[Geen]:[Waarde MIN]],_xlfn.XMATCH(Miscanthus!L46,CultCost01[[#All],[Gewasverzorging]]),_xlfn.XMATCH(Miscanthus!M46,CultCost01[[#Headers],[Geen]:[Waarde MIN]])),N46)</f>
        <v>25</v>
      </c>
      <c r="P46" s="116" t="s">
        <v>117</v>
      </c>
    </row>
    <row r="47" spans="2:26" ht="16.5" thickTop="1" thickBot="1">
      <c r="B47" s="55" t="str">
        <f>L69</f>
        <v>Onderhoud</v>
      </c>
      <c r="C47" s="42">
        <f>O69</f>
        <v>25</v>
      </c>
      <c r="D47" s="56" t="s">
        <v>88</v>
      </c>
      <c r="F47" s="114" t="str">
        <v>Grondverzet - prijs per uur</v>
      </c>
      <c r="G47" s="49" t="s">
        <v>79</v>
      </c>
      <c r="H47" s="45"/>
      <c r="I47" s="108" cm="1">
        <f t="array" ref="I47">IF(ISBLANK(H47),INDEX(CultInvest01[[#All],[Geen]:[Waarde MIN]],_xlfn.XMATCH(Miscanthus!F47,CultInvest01[[#All],[Teelt - Investeringen perceel]]),_xlfn.XMATCH(Miscanthus!G47,CultInvest01[[#Headers],[Geen]:[Waarde MIN]])),H47)</f>
        <v>95</v>
      </c>
      <c r="J47" s="109" t="s">
        <v>117</v>
      </c>
      <c r="L47" s="55" t="str">
        <v>Ongediertebestrijding</v>
      </c>
      <c r="M47" s="42">
        <f>O45*O46</f>
        <v>62.5</v>
      </c>
      <c r="N47" s="45"/>
      <c r="O47" s="107">
        <f>IF(ISBLANK(N47),M47,N47)</f>
        <v>62.5</v>
      </c>
      <c r="P47" s="56" t="s">
        <v>88</v>
      </c>
    </row>
    <row r="48" spans="2:26" ht="16.5" thickTop="1" thickBot="1">
      <c r="B48" s="219" t="str">
        <f>L78</f>
        <v>Afschrijving &amp; aflossing teeltinvesteringen</v>
      </c>
      <c r="C48" s="40">
        <f>O78</f>
        <v>420.53408541435169</v>
      </c>
      <c r="D48" s="220" t="s">
        <v>88</v>
      </c>
      <c r="F48" s="55" t="str">
        <v>Grondverzet - totaal</v>
      </c>
      <c r="G48" s="42">
        <f>I46*I47</f>
        <v>0</v>
      </c>
      <c r="H48" s="45"/>
      <c r="I48" s="107">
        <f>IF(ISBLANK(H48),G48,H48)</f>
        <v>0</v>
      </c>
      <c r="J48" s="56" t="s">
        <v>88</v>
      </c>
      <c r="L48" s="114" t="str">
        <v>Dijkbeheer &amp; slootonderhoud - uren</v>
      </c>
      <c r="M48" s="49" t="s">
        <v>126</v>
      </c>
      <c r="N48" s="45"/>
      <c r="O48" s="169" cm="1">
        <f t="array" ref="O48">IF(ISBLANK(N48),INDEX(CultCost01[[#All],[Geen]:[Waarde MIN]],_xlfn.XMATCH(Miscanthus!L48,CultCost01[[#All],[Gewasverzorging]]),_xlfn.XMATCH(Miscanthus!M48,CultCost01[[#Headers],[Geen]:[Waarde MIN]])),N48)</f>
        <v>1</v>
      </c>
      <c r="P48" s="116" t="s">
        <v>116</v>
      </c>
    </row>
    <row r="49" spans="2:16" ht="16.5" thickTop="1" thickBot="1">
      <c r="B49" s="76" t="s">
        <v>118</v>
      </c>
      <c r="C49" s="46">
        <f>SUM(C43:C48)</f>
        <v>1346.5340854143517</v>
      </c>
      <c r="D49" s="111" t="s">
        <v>88</v>
      </c>
      <c r="F49" s="114" t="str">
        <v>Grondtoevoer - kuub per hectare</v>
      </c>
      <c r="G49" s="49" t="s">
        <v>114</v>
      </c>
      <c r="H49" s="45"/>
      <c r="I49" s="108" cm="1">
        <f t="array" ref="I49">IF(ISBLANK(H49),INDEX(CultInvest01[[#All],[Geen]:[Waarde MIN]],_xlfn.XMATCH(Miscanthus!F49,CultInvest01[[#All],[Teelt - Investeringen perceel]]),_xlfn.XMATCH(Miscanthus!G49,CultInvest01[[#Headers],[Geen]:[Waarde MIN]])),H49)</f>
        <v>0</v>
      </c>
      <c r="J49" s="112" t="s">
        <v>119</v>
      </c>
      <c r="L49" s="114" t="str">
        <v>Dijkbeheer &amp; slootonderhoud - tarief</v>
      </c>
      <c r="M49" s="49" t="s">
        <v>79</v>
      </c>
      <c r="N49" s="45"/>
      <c r="O49" s="115" cm="1">
        <f t="array" ref="O49">IF(ISBLANK(N49),INDEX(CultCost01[[#All],[Geen]:[Waarde MIN]],_xlfn.XMATCH(Miscanthus!L49,CultCost01[[#All],[Gewasverzorging]]),_xlfn.XMATCH(Miscanthus!M49,CultCost01[[#Headers],[Geen]:[Waarde MIN]])),N49)</f>
        <v>25</v>
      </c>
      <c r="P49" s="116" t="s">
        <v>117</v>
      </c>
    </row>
    <row r="50" spans="2:16" ht="16.5" thickTop="1" thickBot="1">
      <c r="B50" s="55"/>
      <c r="C50" s="103"/>
      <c r="D50" s="56"/>
      <c r="F50" s="114" t="str">
        <v>Grondtoevoer - prijs per kuub</v>
      </c>
      <c r="G50" s="49" t="s">
        <v>79</v>
      </c>
      <c r="H50" s="45"/>
      <c r="I50" s="108" cm="1">
        <f t="array" ref="I50">IF(ISBLANK(H50),INDEX(CultInvest01[[#All],[Geen]:[Waarde MIN]],_xlfn.XMATCH(Miscanthus!F50,CultInvest01[[#All],[Teelt - Investeringen perceel]]),_xlfn.XMATCH(Miscanthus!G50,CultInvest01[[#Headers],[Geen]:[Waarde MIN]])),H50)</f>
        <v>3</v>
      </c>
      <c r="J50" s="112" t="s">
        <v>120</v>
      </c>
      <c r="L50" s="55" t="str">
        <v>Dijkbeheer &amp; slootonderhoud</v>
      </c>
      <c r="M50" s="42">
        <f>O48*O49</f>
        <v>25</v>
      </c>
      <c r="N50" s="45"/>
      <c r="O50" s="107">
        <f>IF(ISBLANK(N50),M50,N50)</f>
        <v>25</v>
      </c>
      <c r="P50" s="56" t="s">
        <v>88</v>
      </c>
    </row>
    <row r="51" spans="2:16" ht="16.5" thickTop="1" thickBot="1">
      <c r="B51" s="76" t="s">
        <v>121</v>
      </c>
      <c r="C51" s="340" t="s">
        <v>109</v>
      </c>
      <c r="D51" s="341"/>
      <c r="F51" s="55" t="str">
        <v>Grondtoevoer - totaal</v>
      </c>
      <c r="G51" s="42">
        <f>I49*I50</f>
        <v>0</v>
      </c>
      <c r="H51" s="45"/>
      <c r="I51" s="107">
        <f>IF(ISBLANK(H51),G51,H51)</f>
        <v>0</v>
      </c>
      <c r="J51" s="56" t="s">
        <v>88</v>
      </c>
      <c r="L51" s="114" t="str">
        <v>Gewasverzorging - uren medewerker</v>
      </c>
      <c r="M51" s="49" t="s">
        <v>126</v>
      </c>
      <c r="N51" s="45"/>
      <c r="O51" s="108" cm="1">
        <f t="array" ref="O51">IF(ISBLANK(N51),INDEX(CultCost01[[#All],[Geen]:[Waarde MIN]],_xlfn.XMATCH(Miscanthus!L51,CultCost01[[#All],[Gewasverzorging]]),_xlfn.XMATCH(Miscanthus!M51,CultCost01[[#Headers],[Geen]:[Waarde MIN]])),N51)</f>
        <v>5</v>
      </c>
      <c r="P51" s="112" t="s">
        <v>116</v>
      </c>
    </row>
    <row r="52" spans="2:16" ht="16.5" thickTop="1" thickBot="1">
      <c r="B52" s="55" t="s">
        <v>122</v>
      </c>
      <c r="C52" s="42">
        <f>I45</f>
        <v>400</v>
      </c>
      <c r="D52" s="56" t="s">
        <v>88</v>
      </c>
      <c r="F52" s="114" t="str">
        <v>Watertoevoer - meter leiding per hectare</v>
      </c>
      <c r="G52" s="49" t="s">
        <v>114</v>
      </c>
      <c r="H52" s="45"/>
      <c r="I52" s="108" cm="1">
        <f t="array" ref="I52">IF(ISBLANK(H52),INDEX(CultInvest01[[#All],[Geen]:[Waarde MIN]],_xlfn.XMATCH(Miscanthus!F52,CultInvest01[[#All],[Teelt - Investeringen perceel]]),_xlfn.XMATCH(Miscanthus!G52,CultInvest01[[#Headers],[Geen]:[Waarde MIN]])),H52)</f>
        <v>0</v>
      </c>
      <c r="J52" s="112" t="s">
        <v>123</v>
      </c>
      <c r="L52" s="114" t="str">
        <v>Medewerker - tarief per uur</v>
      </c>
      <c r="M52" s="49" t="s">
        <v>79</v>
      </c>
      <c r="N52" s="45"/>
      <c r="O52" s="108" cm="1">
        <f t="array" ref="O52">IF(ISBLANK(N52),INDEX(CultCost01[[#All],[Geen]:[Waarde MIN]],_xlfn.XMATCH(Miscanthus!L52,CultCost01[[#All],[Gewasverzorging]]),_xlfn.XMATCH(Miscanthus!M52,CultCost01[[#Headers],[Geen]:[Waarde MIN]])),N52)</f>
        <v>25</v>
      </c>
      <c r="P52" s="112" t="s">
        <v>117</v>
      </c>
    </row>
    <row r="53" spans="2:16" ht="16.5" thickTop="1" thickBot="1">
      <c r="B53" s="77" t="s">
        <v>124</v>
      </c>
      <c r="C53" s="198">
        <f>I66</f>
        <v>3965</v>
      </c>
      <c r="D53" s="220" t="s">
        <v>88</v>
      </c>
      <c r="F53" s="114" t="str">
        <v>Watertoevoer - prijs per meter leiding</v>
      </c>
      <c r="G53" s="49" t="s">
        <v>79</v>
      </c>
      <c r="H53" s="45"/>
      <c r="I53" s="108" cm="1">
        <f t="array" ref="I53">IF(ISBLANK(H53),INDEX(CultInvest01[[#All],[Geen]:[Waarde MIN]],_xlfn.XMATCH(Miscanthus!F53,CultInvest01[[#All],[Teelt - Investeringen perceel]]),_xlfn.XMATCH(Miscanthus!G53,CultInvest01[[#Headers],[Geen]:[Waarde MIN]])),H53)</f>
        <v>10</v>
      </c>
      <c r="J53" s="112" t="s">
        <v>125</v>
      </c>
      <c r="L53" s="114" t="str">
        <v xml:space="preserve">Gewasverzorging - uren management </v>
      </c>
      <c r="M53" s="49" t="s">
        <v>79</v>
      </c>
      <c r="N53" s="45"/>
      <c r="O53" s="108" cm="1">
        <f t="array" ref="O53">IF(ISBLANK(N53),INDEX(CultCost01[[#All],[Geen]:[Waarde MIN]],_xlfn.XMATCH(Miscanthus!L53,CultCost01[[#All],[Gewasverzorging]]),_xlfn.XMATCH(Miscanthus!M53,CultCost01[[#Headers],[Geen]:[Waarde MIN]])),N53)</f>
        <v>1</v>
      </c>
      <c r="P53" s="112" t="s">
        <v>116</v>
      </c>
    </row>
    <row r="54" spans="2:16" ht="16.5" thickTop="1" thickBot="1">
      <c r="B54" s="78" t="s">
        <v>118</v>
      </c>
      <c r="C54" s="147">
        <f>SUM(C52:C53)</f>
        <v>4365</v>
      </c>
      <c r="D54" s="148" t="s">
        <v>88</v>
      </c>
      <c r="F54" s="125" t="str">
        <v>Watertoevoer - totaal</v>
      </c>
      <c r="G54" s="42">
        <f>I52*I53</f>
        <v>0</v>
      </c>
      <c r="H54" s="45"/>
      <c r="I54" s="107">
        <f>IF(ISBLANK(H54),G54,H54)</f>
        <v>0</v>
      </c>
      <c r="J54" s="56" t="s">
        <v>88</v>
      </c>
      <c r="L54" s="114" t="str">
        <v>Manager - tarief per uur</v>
      </c>
      <c r="M54" s="49" t="s">
        <v>114</v>
      </c>
      <c r="N54" s="45"/>
      <c r="O54" s="108" cm="1">
        <f t="array" ref="O54">IF(ISBLANK(N54),INDEX(CultCost01[[#All],[Geen]:[Waarde MIN]],_xlfn.XMATCH(Miscanthus!L54,CultCost01[[#All],[Gewasverzorging]]),_xlfn.XMATCH(Miscanthus!M54,CultCost01[[#Headers],[Geen]:[Waarde MIN]])),N54)</f>
        <v>0</v>
      </c>
      <c r="P54" s="112" t="s">
        <v>117</v>
      </c>
    </row>
    <row r="55" spans="2:16" ht="16.5" thickTop="1" thickBot="1">
      <c r="F55" s="114" t="str">
        <v>Waterafvoer - meter leiding per hectare</v>
      </c>
      <c r="G55" s="49" t="s">
        <v>114</v>
      </c>
      <c r="H55" s="45"/>
      <c r="I55" s="108" cm="1">
        <f t="array" ref="I55">IF(ISBLANK(H55),INDEX(CultInvest01[[#All],[Geen]:[Waarde MIN]],_xlfn.XMATCH(Miscanthus!F55,CultInvest01[[#All],[Teelt - Investeringen perceel]]),_xlfn.XMATCH(Miscanthus!G55,CultInvest01[[#Headers],[Geen]:[Waarde MIN]])),H55)</f>
        <v>0</v>
      </c>
      <c r="J55" s="112" t="s">
        <v>123</v>
      </c>
      <c r="L55" s="55" t="str">
        <v>Gewasverzorging - eigen arbeidsuren</v>
      </c>
      <c r="M55" s="42">
        <f>SUM(O51*O52,O53*O54)</f>
        <v>125</v>
      </c>
      <c r="N55" s="45"/>
      <c r="O55" s="107">
        <f>IF(ISBLANK(N55),M55,N55)</f>
        <v>125</v>
      </c>
      <c r="P55" s="56" t="s">
        <v>88</v>
      </c>
    </row>
    <row r="56" spans="2:16" ht="16.5" thickTop="1" thickBot="1">
      <c r="F56" s="114" t="str">
        <v>Waterafvoer - prijs per meter leiding</v>
      </c>
      <c r="G56" s="49" t="s">
        <v>79</v>
      </c>
      <c r="H56" s="45"/>
      <c r="I56" s="108" cm="1">
        <f t="array" ref="I56">IF(ISBLANK(H56),INDEX(CultInvest01[[#All],[Geen]:[Waarde MIN]],_xlfn.XMATCH(Miscanthus!F56,CultInvest01[[#All],[Teelt - Investeringen perceel]]),_xlfn.XMATCH(Miscanthus!G56,CultInvest01[[#Headers],[Geen]:[Waarde MIN]])),H56)</f>
        <v>10</v>
      </c>
      <c r="J56" s="112" t="s">
        <v>125</v>
      </c>
      <c r="L56" s="114" t="str">
        <v>Gewasverzorging - uren inhuur derden</v>
      </c>
      <c r="M56" s="49" t="s">
        <v>114</v>
      </c>
      <c r="N56" s="45"/>
      <c r="O56" s="108" cm="1">
        <f t="array" ref="O56">IF(ISBLANK(N56),INDEX(CultCost01[[#All],[Geen]:[Waarde MIN]],_xlfn.XMATCH(Miscanthus!L56,CultCost01[[#All],[Gewasverzorging]]),_xlfn.XMATCH(Miscanthus!M56,CultCost01[[#Headers],[Geen]:[Waarde MIN]])),N56)</f>
        <v>0</v>
      </c>
      <c r="P56" s="112" t="s">
        <v>116</v>
      </c>
    </row>
    <row r="57" spans="2:16" ht="16.5" thickTop="1" thickBot="1">
      <c r="F57" s="55" t="str">
        <v>Waterafvoer - totaal</v>
      </c>
      <c r="G57" s="42">
        <f>I55*I56</f>
        <v>0</v>
      </c>
      <c r="H57" s="45"/>
      <c r="I57" s="107">
        <f>IF(ISBLANK(H57),G57,H57)</f>
        <v>0</v>
      </c>
      <c r="J57" s="56" t="s">
        <v>88</v>
      </c>
      <c r="L57" s="114" t="str">
        <v>Gewasverzorging - tarief inhuur derden</v>
      </c>
      <c r="M57" s="49" t="s">
        <v>114</v>
      </c>
      <c r="N57" s="45"/>
      <c r="O57" s="108" cm="1">
        <f t="array" ref="O57">IF(ISBLANK(N57),INDEX(CultCost01[[#All],[Geen]:[Waarde MIN]],_xlfn.XMATCH(Miscanthus!L57,CultCost01[[#All],[Gewasverzorging]]),_xlfn.XMATCH(Miscanthus!M57,CultCost01[[#Headers],[Geen]:[Waarde MIN]])),N57)</f>
        <v>0</v>
      </c>
      <c r="P57" s="112" t="s">
        <v>117</v>
      </c>
    </row>
    <row r="58" spans="2:16" ht="16.5" thickTop="1" thickBot="1">
      <c r="F58" s="55" t="str">
        <v>Pompen - aanschaf incl. stroomvoorziening</v>
      </c>
      <c r="G58" s="49" t="s">
        <v>114</v>
      </c>
      <c r="H58" s="45"/>
      <c r="I58" s="107" cm="1">
        <f t="array" ref="I58">IF(ISBLANK(H58),INDEX(CultInvest01[[#All],[Geen]:[Waarde MIN]],_xlfn.XMATCH(Miscanthus!F58,CultInvest01[[#All],[Teelt - Investeringen perceel]]),_xlfn.XMATCH(Miscanthus!G58,CultInvest01[[#Headers],[Geen]:[Waarde MIN]])),H58)</f>
        <v>0</v>
      </c>
      <c r="J58" s="56" t="s">
        <v>88</v>
      </c>
      <c r="L58" s="55" t="str">
        <v>Gewasverzorging - inhuur derden</v>
      </c>
      <c r="M58" s="103">
        <f>O56*O57</f>
        <v>0</v>
      </c>
      <c r="N58" s="45"/>
      <c r="O58" s="107">
        <f>IF(ISBLANK(N58),M58,N58)</f>
        <v>0</v>
      </c>
      <c r="P58" s="56" t="s">
        <v>88</v>
      </c>
    </row>
    <row r="59" spans="2:16" ht="16.5" thickTop="1" thickBot="1">
      <c r="F59" s="55" t="str">
        <v>Waterpeilbeheersing (schuiven, slibkisten, etc.)</v>
      </c>
      <c r="G59" s="49" t="s">
        <v>114</v>
      </c>
      <c r="H59" s="45"/>
      <c r="I59" s="107" cm="1">
        <f t="array" ref="I59">IF(ISBLANK(H59),INDEX(CultInvest01[[#All],[Geen]:[Waarde MIN]],_xlfn.XMATCH(Miscanthus!F59,CultInvest01[[#All],[Teelt - Investeringen perceel]]),_xlfn.XMATCH(Miscanthus!G59,CultInvest01[[#Headers],[Geen]:[Waarde MIN]])),H59)</f>
        <v>0</v>
      </c>
      <c r="J59" s="56" t="s">
        <v>88</v>
      </c>
      <c r="L59" s="55"/>
      <c r="M59" s="103"/>
      <c r="N59" s="103"/>
      <c r="O59" s="103"/>
      <c r="P59" s="56"/>
    </row>
    <row r="60" spans="2:16" ht="16.5" thickTop="1" thickBot="1">
      <c r="F60" s="55" t="str">
        <v>Afrastering &amp; vraatbescherming</v>
      </c>
      <c r="G60" s="49" t="s">
        <v>126</v>
      </c>
      <c r="H60" s="45"/>
      <c r="I60" s="107" cm="1">
        <f t="array" ref="I60">IF(ISBLANK(H60),INDEX(CultInvest01[[#All],[Geen]:[Waarde MIN]],_xlfn.XMATCH(Miscanthus!F60,CultInvest01[[#All],[Teelt - Investeringen perceel]]),_xlfn.XMATCH(Miscanthus!G60,CultInvest01[[#Headers],[Geen]:[Waarde MIN]])),H60)</f>
        <v>250</v>
      </c>
      <c r="J60" s="56" t="s">
        <v>88</v>
      </c>
      <c r="L60" s="76" t="str" cm="1">
        <f t="array" ref="L60:L63">CultCost02[[#All],[Energieverbruik en water]]</f>
        <v>Energieverbruik en water</v>
      </c>
      <c r="M60" s="63" t="s">
        <v>112</v>
      </c>
      <c r="N60" s="64" t="s">
        <v>111</v>
      </c>
      <c r="O60" s="46">
        <f>SUM(O61:O63)</f>
        <v>0</v>
      </c>
      <c r="P60" s="111" t="s">
        <v>88</v>
      </c>
    </row>
    <row r="61" spans="2:16" ht="16.5" thickTop="1" thickBot="1">
      <c r="F61" s="55" t="str">
        <v>Overige kosten (bijv. folie)</v>
      </c>
      <c r="G61" s="49" t="s">
        <v>114</v>
      </c>
      <c r="H61" s="45"/>
      <c r="I61" s="107" cm="1">
        <f t="array" ref="I61">IF(ISBLANK(H61),INDEX(CultInvest01[[#All],[Geen]:[Waarde MIN]],_xlfn.XMATCH(Miscanthus!F61,CultInvest01[[#All],[Teelt - Investeringen perceel]]),_xlfn.XMATCH(Miscanthus!G61,CultInvest01[[#Headers],[Geen]:[Waarde MIN]])),H61)</f>
        <v>0</v>
      </c>
      <c r="J61" s="56" t="s">
        <v>88</v>
      </c>
      <c r="L61" s="55" t="str">
        <v>Elektraverbruik irrigatie en peilbeheer</v>
      </c>
      <c r="M61" s="49" t="s">
        <v>114</v>
      </c>
      <c r="N61" s="45"/>
      <c r="O61" s="107" cm="1">
        <f t="array" ref="O61">IF(ISBLANK(N61),INDEX(CultCost02[[#All],[Geen]:[Waarde MIN]],_xlfn.XMATCH(Miscanthus!L61,CultCost02[[#All],[Energieverbruik en water]]),_xlfn.XMATCH(Miscanthus!M61,CultCost02[[#Headers],[Geen]:[Waarde MIN]])),N61)</f>
        <v>0</v>
      </c>
      <c r="P61" s="56" t="s">
        <v>88</v>
      </c>
    </row>
    <row r="62" spans="2:16" ht="16.5" thickTop="1" thickBot="1">
      <c r="F62" s="55" t="str">
        <v>Vergunningsaanvraag</v>
      </c>
      <c r="G62" s="49" t="s">
        <v>79</v>
      </c>
      <c r="H62" s="45"/>
      <c r="I62" s="107" cm="1">
        <f t="array" ref="I62">IF(ISBLANK(H62),INDEX(CultInvest01[[#All],[Geen]:[Waarde MIN]],_xlfn.XMATCH(Miscanthus!F62,CultInvest01[[#All],[Teelt - Investeringen perceel]]),_xlfn.XMATCH(Miscanthus!G62,CultInvest01[[#Headers],[Geen]:[Waarde MIN]])),H62)</f>
        <v>150</v>
      </c>
      <c r="J62" s="56" t="s">
        <v>88</v>
      </c>
      <c r="L62" s="55" t="str">
        <v xml:space="preserve">Elektraverbruik overig </v>
      </c>
      <c r="M62" s="49" t="s">
        <v>114</v>
      </c>
      <c r="N62" s="45"/>
      <c r="O62" s="107" cm="1">
        <f t="array" ref="O62">IF(ISBLANK(N62),INDEX(CultCost02[[#All],[Geen]:[Waarde MIN]],_xlfn.XMATCH(Miscanthus!L62,CultCost02[[#All],[Energieverbruik en water]]),_xlfn.XMATCH(Miscanthus!M62,CultCost02[[#Headers],[Geen]:[Waarde MIN]])),N62)</f>
        <v>0</v>
      </c>
      <c r="P62" s="56" t="s">
        <v>88</v>
      </c>
    </row>
    <row r="63" spans="2:16" ht="16.5" thickTop="1" thickBot="1">
      <c r="F63" s="55"/>
      <c r="G63" s="43"/>
      <c r="H63" s="107"/>
      <c r="I63" s="107"/>
      <c r="J63" s="56"/>
      <c r="L63" s="55" t="str">
        <v>Heffingen waterverbruik</v>
      </c>
      <c r="M63" s="49" t="s">
        <v>114</v>
      </c>
      <c r="N63" s="45"/>
      <c r="O63" s="107" cm="1">
        <f t="array" ref="O63">IF(ISBLANK(N63),INDEX(CultCost02[[#All],[Geen]:[Waarde MIN]],_xlfn.XMATCH(Miscanthus!L63,CultCost02[[#All],[Energieverbruik en water]]),_xlfn.XMATCH(Miscanthus!M63,CultCost02[[#Headers],[Geen]:[Waarde MIN]])),N63)</f>
        <v>0</v>
      </c>
      <c r="P63" s="56" t="s">
        <v>88</v>
      </c>
    </row>
    <row r="64" spans="2:16" ht="16.5" thickTop="1" thickBot="1">
      <c r="F64" s="76" t="s">
        <v>127</v>
      </c>
      <c r="G64" s="43"/>
      <c r="H64" s="107"/>
      <c r="I64" s="107"/>
      <c r="J64" s="56"/>
      <c r="L64" s="55"/>
      <c r="M64" s="103"/>
      <c r="N64" s="103"/>
      <c r="O64" s="103"/>
      <c r="P64" s="56"/>
    </row>
    <row r="65" spans="6:16" ht="16.5" thickTop="1" thickBot="1">
      <c r="F65" s="49" t="s">
        <v>212</v>
      </c>
      <c r="G65" s="43"/>
      <c r="H65" s="107"/>
      <c r="I65" s="107"/>
      <c r="J65" s="56"/>
      <c r="L65" s="76" t="str" cm="1">
        <f t="array" ref="L65:L67">CultCost03[[#All],[Belastingen en verzekeringen]]</f>
        <v>Belastingen en verzekeringen</v>
      </c>
      <c r="M65" s="63" t="s">
        <v>112</v>
      </c>
      <c r="N65" s="64" t="s">
        <v>111</v>
      </c>
      <c r="O65" s="79">
        <f>SUM(O66:O67)</f>
        <v>175</v>
      </c>
      <c r="P65" s="111" t="s">
        <v>88</v>
      </c>
    </row>
    <row r="66" spans="6:16" ht="16.5" thickTop="1" thickBot="1">
      <c r="F66" s="76" t="s">
        <v>128</v>
      </c>
      <c r="G66" s="63" t="s">
        <v>112</v>
      </c>
      <c r="H66" s="64" t="s">
        <v>111</v>
      </c>
      <c r="I66" s="41">
        <f>IF(F67='DATA - Variabelen &amp; waarden'!B42,SUM(Miscanthus!I69,Miscanthus!I70,Miscanthus!I71,Miscanthus!I74,Miscanthus!I79),SUM(Miscanthus!I69,Miscanthus!I70,Miscanthus!I75,Miscanthus!I77))</f>
        <v>3965</v>
      </c>
      <c r="J66" s="111" t="s">
        <v>88</v>
      </c>
      <c r="L66" s="55" t="str">
        <v>Waterschapsbelasting</v>
      </c>
      <c r="M66" s="49" t="s">
        <v>129</v>
      </c>
      <c r="N66" s="45"/>
      <c r="O66" s="119" cm="1">
        <f t="array" ref="O66">IF(ISBLANK(N66),INDEX(CultCost03[[#All],[Geen]:[Waarde MIN]],_xlfn.XMATCH(Miscanthus!L66,CultCost03[[#All],[Belastingen en verzekeringen]]),_xlfn.XMATCH(Miscanthus!M66,CultCost03[[#Headers],[Geen]:[Waarde MIN]])),N66)</f>
        <v>100</v>
      </c>
      <c r="P66" s="56" t="s">
        <v>88</v>
      </c>
    </row>
    <row r="67" spans="6:16" ht="16.5" thickTop="1" thickBot="1">
      <c r="F67" s="49" t="s">
        <v>130</v>
      </c>
      <c r="G67" s="43"/>
      <c r="H67" s="107"/>
      <c r="I67" s="107"/>
      <c r="J67" s="56"/>
      <c r="L67" s="55" t="str">
        <v>Verzekeringen</v>
      </c>
      <c r="M67" s="49" t="s">
        <v>79</v>
      </c>
      <c r="N67" s="45"/>
      <c r="O67" s="103" cm="1">
        <f t="array" ref="O67">IF(ISBLANK(N67),INDEX(CultCost03[[#All],[Geen]:[Waarde MIN]],_xlfn.XMATCH(Miscanthus!L67,CultCost03[[#All],[Belastingen en verzekeringen]]),_xlfn.XMATCH(Miscanthus!M67,CultCost03[[#Headers],[Geen]:[Waarde MIN]])),N67)</f>
        <v>75</v>
      </c>
      <c r="P67" s="56" t="s">
        <v>88</v>
      </c>
    </row>
    <row r="68" spans="6:16" ht="16.5" thickTop="1" thickBot="1">
      <c r="F68" s="76" t="s">
        <v>131</v>
      </c>
      <c r="G68" s="43"/>
      <c r="H68" s="107"/>
      <c r="I68" s="107"/>
      <c r="J68" s="56"/>
      <c r="L68" s="55"/>
      <c r="M68" s="103"/>
      <c r="N68" s="103"/>
      <c r="O68" s="103"/>
      <c r="P68" s="56"/>
    </row>
    <row r="69" spans="6:16" ht="16.5" thickTop="1" thickBot="1">
      <c r="F69" s="55" t="str" cm="1">
        <f t="array" ref="F69:F75">CultInvest02[Planten / Zaaien - Algemene kosten]</f>
        <v>Klaarmaken grond - grondbewerking</v>
      </c>
      <c r="G69" s="49" t="s">
        <v>126</v>
      </c>
      <c r="H69" s="45"/>
      <c r="I69" s="107" cm="1">
        <f t="array" ref="I69">IF(ISBLANK(H69),INDEX(CultInvest02[[#Headers],[#Data],[Geen]:[Waarde MIN]],_xlfn.XMATCH(Miscanthus!F69,CultInvest02[[#Headers],[#Data],[Planten / Zaaien - Algemene kosten]]),_xlfn.XMATCH(Miscanthus!G69,CultInvest02[[#Headers],[Geen]:[Waarde MIN]])),H69)</f>
        <v>65</v>
      </c>
      <c r="J69" s="56" t="s">
        <v>88</v>
      </c>
      <c r="L69" s="76" t="str" cm="1">
        <f t="array" ref="L69:L76">CultCost04[[#All],[Onderhoud]]</f>
        <v>Onderhoud</v>
      </c>
      <c r="M69" s="63" t="s">
        <v>112</v>
      </c>
      <c r="N69" s="64" t="s">
        <v>111</v>
      </c>
      <c r="O69" s="46">
        <f>SUM(O70:O76)</f>
        <v>25</v>
      </c>
      <c r="P69" s="111" t="s">
        <v>88</v>
      </c>
    </row>
    <row r="70" spans="6:16" ht="16.5" thickTop="1" thickBot="1">
      <c r="F70" s="55" t="str">
        <v>Klaarmaken grond - bodemverbeteraars/bemesting</v>
      </c>
      <c r="G70" s="49" t="s">
        <v>126</v>
      </c>
      <c r="H70" s="45"/>
      <c r="I70" s="107" cm="1">
        <f t="array" ref="I70">IF(ISBLANK(H70),INDEX(CultInvest02[[#Headers],[#Data],[Geen]:[Waarde MIN]],_xlfn.XMATCH(Miscanthus!F70,CultInvest02[[#Headers],[#Data],[Planten / Zaaien - Algemene kosten]]),_xlfn.XMATCH(Miscanthus!G70,CultInvest02[[#Headers],[Geen]:[Waarde MIN]])),H70)</f>
        <v>100</v>
      </c>
      <c r="J70" s="56" t="s">
        <v>88</v>
      </c>
      <c r="L70" s="55" t="str">
        <v>Grondverzet - totaal</v>
      </c>
      <c r="M70" s="49" t="s">
        <v>114</v>
      </c>
      <c r="N70" s="45"/>
      <c r="O70" s="43" cm="1">
        <f t="array" ref="O70">IF(ISBLANK(N70),(SUM(I48,I51)*INDEX(CultCost04[[#All],[Geen]:[Waarde MIN]],_xlfn.XMATCH(Miscanthus!L70,CultCost04[[#All],[Onderhoud]]),_xlfn.XMATCH(Miscanthus!M70,CultCost04[[#Headers],[Geen]:[Waarde MIN]]))),N70)</f>
        <v>0</v>
      </c>
      <c r="P70" s="56" t="s">
        <v>88</v>
      </c>
    </row>
    <row r="71" spans="6:16" ht="16.5" thickTop="1" thickBot="1">
      <c r="F71" s="55" t="str">
        <v>Plantkosten - machine</v>
      </c>
      <c r="G71" s="49" t="s">
        <v>126</v>
      </c>
      <c r="H71" s="45"/>
      <c r="I71" s="107" cm="1">
        <f t="array" ref="I71">IF(ISBLANK(H71),INDEX(CultInvest02[[#Headers],[#Data],[Geen]:[Waarde MIN]],_xlfn.XMATCH(Miscanthus!F71,CultInvest02[[#Headers],[#Data],[Planten / Zaaien - Algemene kosten]]),_xlfn.XMATCH(Miscanthus!G71,CultInvest02[[#Headers],[Geen]:[Waarde MIN]])),H71)</f>
        <v>300</v>
      </c>
      <c r="J71" s="56" t="s">
        <v>88</v>
      </c>
      <c r="L71" s="55" t="str">
        <v>Watertoevoer - totaal</v>
      </c>
      <c r="M71" s="49" t="s">
        <v>79</v>
      </c>
      <c r="N71" s="45"/>
      <c r="O71" s="42" cm="1">
        <f t="array" ref="O71">IF(ISBLANK(N71),(I54*INDEX(CultCost04[[#All],[Geen]:[Waarde MIN]],_xlfn.XMATCH(Miscanthus!L71,CultCost04[[#All],[Onderhoud]]),_xlfn.XMATCH(Miscanthus!M71,CultCost04[[#Headers],[Geen]:[Waarde MIN]]))),N71)</f>
        <v>0</v>
      </c>
      <c r="P71" s="56" t="s">
        <v>88</v>
      </c>
    </row>
    <row r="72" spans="6:16" ht="16.5" thickTop="1" thickBot="1">
      <c r="F72" s="114" t="str">
        <v>Plantkosten - uren per hectare</v>
      </c>
      <c r="G72" s="49" t="s">
        <v>126</v>
      </c>
      <c r="H72" s="45"/>
      <c r="I72" s="108" cm="1">
        <f t="array" ref="I72">IF(ISBLANK(H72),INDEX(CultInvest02[[#Headers],[#Data],[Geen]:[Waarde MIN]],_xlfn.XMATCH(Miscanthus!F72,CultInvest02[[#Headers],[#Data],[Planten / Zaaien - Algemene kosten]]),_xlfn.XMATCH(Miscanthus!G72,CultInvest02[[#Headers],[Geen]:[Waarde MIN]])),H72)</f>
        <v>20</v>
      </c>
      <c r="J72" s="112" t="s">
        <v>132</v>
      </c>
      <c r="L72" s="55" t="str">
        <v>Waterafvoer - totaal</v>
      </c>
      <c r="M72" s="49" t="s">
        <v>79</v>
      </c>
      <c r="N72" s="45"/>
      <c r="O72" s="42" cm="1">
        <f t="array" ref="O72">IF(ISBLANK(N72),(I57*INDEX(CultCost04[[#All],[Geen]:[Waarde MIN]],_xlfn.XMATCH(Miscanthus!L72,CultCost04[[#All],[Onderhoud]]),_xlfn.XMATCH(Miscanthus!M72,CultCost04[[#Headers],[Geen]:[Waarde MIN]]))),N72)</f>
        <v>0</v>
      </c>
      <c r="P72" s="56" t="s">
        <v>88</v>
      </c>
    </row>
    <row r="73" spans="6:16" ht="16.5" thickTop="1" thickBot="1">
      <c r="F73" s="114" t="str">
        <v>Plantkosten - prijs per uur</v>
      </c>
      <c r="G73" s="49" t="s">
        <v>79</v>
      </c>
      <c r="H73" s="45"/>
      <c r="I73" s="108" cm="1">
        <f t="array" ref="I73">IF(ISBLANK(H73),INDEX(CultInvest02[[#Headers],[#Data],[Geen]:[Waarde MIN]],_xlfn.XMATCH(Miscanthus!F73,CultInvest02[[#Headers],[#Data],[Planten / Zaaien - Algemene kosten]]),_xlfn.XMATCH(Miscanthus!G73,CultInvest02[[#Headers],[Geen]:[Waarde MIN]])),H73)</f>
        <v>25</v>
      </c>
      <c r="J73" s="112" t="s">
        <v>117</v>
      </c>
      <c r="L73" s="55" t="str">
        <v>Pompen - aanschaf incl. stroomvoorziening</v>
      </c>
      <c r="M73" s="49" t="s">
        <v>79</v>
      </c>
      <c r="N73" s="45"/>
      <c r="O73" s="42" cm="1">
        <f t="array" ref="O73">IF(ISBLANK(N73),(I58*INDEX(CultCost04[[#All],[Geen]:[Waarde MIN]],_xlfn.XMATCH(Miscanthus!L73,CultCost04[[#All],[Onderhoud]]),_xlfn.XMATCH(Miscanthus!M73,CultCost04[[#Headers],[Geen]:[Waarde MIN]]))),N73)</f>
        <v>0</v>
      </c>
      <c r="P73" s="56" t="s">
        <v>88</v>
      </c>
    </row>
    <row r="74" spans="6:16" ht="16.5" thickTop="1" thickBot="1">
      <c r="F74" s="55" t="str">
        <v>Plantkosten - arbeid totaal</v>
      </c>
      <c r="G74" s="43">
        <f>I72*I73</f>
        <v>500</v>
      </c>
      <c r="H74" s="45"/>
      <c r="I74" s="107">
        <f>IF(ISBLANK(H74),G74,H74)</f>
        <v>500</v>
      </c>
      <c r="J74" s="56" t="s">
        <v>88</v>
      </c>
      <c r="L74" s="55" t="str">
        <v>Waterpeilbeheersing (schuiven, slibkisten, etc.)</v>
      </c>
      <c r="M74" s="49" t="s">
        <v>79</v>
      </c>
      <c r="N74" s="45"/>
      <c r="O74" s="42" cm="1">
        <f t="array" ref="O74">IF(ISBLANK(N74),(I59*INDEX(CultCost04[[#All],[Geen]:[Waarde MIN]],_xlfn.XMATCH(Miscanthus!L74,CultCost04[[#All],[Onderhoud]]),_xlfn.XMATCH(Miscanthus!M74,CultCost04[[#Headers],[Geen]:[Waarde MIN]]))),N74)</f>
        <v>0</v>
      </c>
      <c r="P74" s="56" t="s">
        <v>88</v>
      </c>
    </row>
    <row r="75" spans="6:16" ht="16.5" thickTop="1" thickBot="1">
      <c r="F75" s="55" t="str">
        <v>Zaaikosten - machine + arbeid</v>
      </c>
      <c r="G75" s="49" t="s">
        <v>129</v>
      </c>
      <c r="H75" s="45"/>
      <c r="I75" s="107" cm="1">
        <f t="array" ref="I75">IF(ISBLANK(H75),INDEX(CultInvest02[[#Headers],[#Data],[Geen]:[Waarde MIN]],_xlfn.XMATCH(Miscanthus!F75,CultInvest02[[#Headers],[#Data],[Planten / Zaaien - Algemene kosten]]),_xlfn.XMATCH(Miscanthus!G75,CultInvest02[[#Headers],[Geen]:[Waarde MIN]])),H75)</f>
        <v>166.25</v>
      </c>
      <c r="J75" s="112" t="s">
        <v>117</v>
      </c>
      <c r="L75" s="55" t="str">
        <v>Afrastering &amp; vraatbescherming</v>
      </c>
      <c r="M75" s="49" t="s">
        <v>129</v>
      </c>
      <c r="N75" s="45"/>
      <c r="O75" s="42" cm="1">
        <f t="array" ref="O75">IF(ISBLANK(N75),(I60*INDEX(CultCost04[[#All],[Geen]:[Waarde MIN]],_xlfn.XMATCH(Miscanthus!L75,CultCost04[[#All],[Onderhoud]]),_xlfn.XMATCH(Miscanthus!M75,CultCost04[[#Headers],[Geen]:[Waarde MIN]]))),N75)</f>
        <v>25</v>
      </c>
      <c r="P75" s="56" t="s">
        <v>88</v>
      </c>
    </row>
    <row r="76" spans="6:16" ht="16.5" thickTop="1" thickBot="1">
      <c r="F76" s="76" t="s">
        <v>133</v>
      </c>
      <c r="G76" s="43"/>
      <c r="H76" s="107"/>
      <c r="I76" s="107"/>
      <c r="J76" s="56"/>
      <c r="L76" s="55" t="str">
        <v>Overige kosten (bijv. folie)</v>
      </c>
      <c r="M76" s="49" t="s">
        <v>79</v>
      </c>
      <c r="N76" s="45"/>
      <c r="O76" s="42" cm="1">
        <f t="array" ref="O76">IF(ISBLANK(N76),(I61*INDEX(CultCost04[[#All],[Geen]:[Waarde MIN]],_xlfn.XMATCH(Miscanthus!L76,CultCost04[[#All],[Onderhoud]]),_xlfn.XMATCH(Miscanthus!M76,CultCost04[[#Headers],[Geen]:[Waarde MIN]]))),N76)</f>
        <v>0</v>
      </c>
      <c r="P76" s="56" t="s">
        <v>88</v>
      </c>
    </row>
    <row r="77" spans="6:16" ht="16.5" thickTop="1" thickBot="1">
      <c r="F77" s="76"/>
      <c r="G77" s="49" t="s">
        <v>79</v>
      </c>
      <c r="H77" s="45"/>
      <c r="I77" s="107" cm="1">
        <f t="array" ref="I77">IF(ISBLANK(H77),INDEX(Zaaigoed[[Geen]:[Waarde MIN]],_xlfn.XMATCH(Miscanthus!F65,Zaaigoed[Zaaigoed]),_xlfn.XMATCH(Miscanthus!G77,Zaaigoed[[#Headers],[Geen]:[Waarde MIN]])),H77)</f>
        <v>0</v>
      </c>
      <c r="J77" s="56" t="s">
        <v>88</v>
      </c>
      <c r="L77" s="55"/>
      <c r="M77" s="103"/>
      <c r="N77" s="103"/>
      <c r="O77" s="103"/>
      <c r="P77" s="56"/>
    </row>
    <row r="78" spans="6:16" ht="16.5" thickTop="1" thickBot="1">
      <c r="F78" s="76" t="s">
        <v>134</v>
      </c>
      <c r="G78" s="43"/>
      <c r="H78" s="107"/>
      <c r="I78" s="107"/>
      <c r="J78" s="56"/>
      <c r="L78" s="76" t="str" cm="1">
        <f t="array" ref="L78:L83">CultCost05[[#All],[Afschrijving &amp; aflossing teeltinvesteringen]]</f>
        <v>Afschrijving &amp; aflossing teeltinvesteringen</v>
      </c>
      <c r="M78" s="63" t="s">
        <v>112</v>
      </c>
      <c r="N78" s="64" t="s">
        <v>111</v>
      </c>
      <c r="O78" s="46">
        <f>SUM(O81,O83)</f>
        <v>420.53408541435169</v>
      </c>
      <c r="P78" s="111" t="s">
        <v>88</v>
      </c>
    </row>
    <row r="79" spans="6:16" ht="16.5" thickTop="1" thickBot="1">
      <c r="F79" s="76"/>
      <c r="G79" s="49" t="s">
        <v>129</v>
      </c>
      <c r="H79" s="45"/>
      <c r="I79" s="107" cm="1">
        <f t="array" ref="I79">IF(ISBLANK(H79),INDEX(Plantgoed[[Geen]:[Waarde MIN]],_xlfn.XMATCH(Miscanthus!F65,Plantgoed[Plantgoed]),_xlfn.XMATCH(Miscanthus!G79,Plantgoed[[#Headers],[Geen]:[Waarde MIN]])),H79)</f>
        <v>3000</v>
      </c>
      <c r="J79" s="56" t="s">
        <v>88</v>
      </c>
      <c r="L79" s="55" t="str">
        <v>Rentepercentage (wel/geen lening)</v>
      </c>
      <c r="M79" s="49" t="s">
        <v>79</v>
      </c>
      <c r="N79" s="50"/>
      <c r="O79" s="47" cm="1">
        <f t="array" ref="O79">IF(ISBLANK(N79),INDEX(CultCost05[[#All],[Geen]:[Waarde MIN]],_xlfn.XMATCH(Miscanthus!L79,CultCost05[[#All],[Afschrijving &amp; aflossing teeltinvesteringen]]),_xlfn.XMATCH(Miscanthus!M79,CultCost05[[#Headers],[Geen]:[Waarde MIN]])),N79)</f>
        <v>0.05</v>
      </c>
      <c r="P79" s="56"/>
    </row>
    <row r="80" spans="6:16" ht="16.5" thickTop="1" thickBot="1">
      <c r="F80" s="57"/>
      <c r="G80" s="104"/>
      <c r="H80" s="104"/>
      <c r="I80" s="104"/>
      <c r="J80" s="58"/>
      <c r="L80" s="55" t="str">
        <v>Afschrijvingstermijn - Investeringen perceel</v>
      </c>
      <c r="M80" s="49" t="s">
        <v>126</v>
      </c>
      <c r="N80" s="45">
        <v>15</v>
      </c>
      <c r="O80" s="43" cm="1">
        <f t="array" ref="O80">IF(ISBLANK(N80),INDEX(CultCost05[[#All],[Geen]:[Waarde MIN]],_xlfn.XMATCH(Miscanthus!L80,CultCost05[[#All],[Afschrijving &amp; aflossing teeltinvesteringen]]),_xlfn.XMATCH(Miscanthus!M80,CultCost05[[#Headers],[Geen]:[Waarde MIN]])),N80)</f>
        <v>15</v>
      </c>
      <c r="P80" s="56" t="s">
        <v>135</v>
      </c>
    </row>
    <row r="81" spans="2:26" ht="16.5" thickTop="1" thickBot="1">
      <c r="I81"/>
      <c r="L81" s="55" t="str">
        <v>Teeltinvesteringen perceel - jaarlijkse afschrijving</v>
      </c>
      <c r="M81" s="43">
        <f>-PMT(O79,O80,I45)</f>
        <v>38.536915043697746</v>
      </c>
      <c r="N81" s="45"/>
      <c r="O81" s="107">
        <f>IF(ISBLANK(N81),M81,N81)</f>
        <v>38.536915043697746</v>
      </c>
      <c r="P81" s="56" t="s">
        <v>88</v>
      </c>
    </row>
    <row r="82" spans="2:26" ht="16.5" thickTop="1" thickBot="1">
      <c r="I82"/>
      <c r="L82" s="55" t="str">
        <v>Afschrijvingstermijn - Plant/zaaikosten</v>
      </c>
      <c r="M82" s="49" t="s">
        <v>79</v>
      </c>
      <c r="N82" s="45">
        <v>15</v>
      </c>
      <c r="O82" s="43" cm="1">
        <f t="array" ref="O82">IF(ISBLANK(N82),INDEX(CultCost05[[#All],[Geen]:[Waarde MIN]],_xlfn.XMATCH(Miscanthus!L82,CultCost05[[#All],[Afschrijving &amp; aflossing teeltinvesteringen]]),_xlfn.XMATCH(Miscanthus!M82,CultCost05[[#Headers],[Geen]:[Waarde MIN]])),N82)</f>
        <v>15</v>
      </c>
      <c r="P82" s="56" t="s">
        <v>135</v>
      </c>
    </row>
    <row r="83" spans="2:26" ht="16" thickTop="1">
      <c r="I83"/>
      <c r="L83" s="55" t="str">
        <v>Plant/zaaikosten - jaarlijkse afschrijving</v>
      </c>
      <c r="M83" s="43">
        <f>-PMT(O79,O82,I66)</f>
        <v>381.99717037065398</v>
      </c>
      <c r="N83" s="45"/>
      <c r="O83" s="107">
        <f>IF(ISBLANK(N83),M83,N83)</f>
        <v>381.99717037065398</v>
      </c>
      <c r="P83" s="56" t="s">
        <v>88</v>
      </c>
    </row>
    <row r="84" spans="2:26">
      <c r="I84"/>
      <c r="L84" s="57"/>
      <c r="M84" s="104"/>
      <c r="N84" s="104"/>
      <c r="O84" s="104"/>
      <c r="P84" s="58"/>
    </row>
    <row r="85" spans="2:26">
      <c r="I85"/>
    </row>
    <row r="86" spans="2:26" s="75" customFormat="1" ht="17">
      <c r="B86" s="74" t="s">
        <v>136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8" spans="2:26" ht="16" thickBot="1">
      <c r="B88" s="61" t="s">
        <v>137</v>
      </c>
      <c r="C88" s="105"/>
      <c r="D88" s="60"/>
      <c r="F88" s="61" t="s">
        <v>138</v>
      </c>
      <c r="G88" s="54" t="str">
        <f>F65</f>
        <v>Miscanthus</v>
      </c>
      <c r="H88" s="105"/>
      <c r="I88" s="80"/>
      <c r="J88" s="60"/>
      <c r="L88" s="121" t="s">
        <v>139</v>
      </c>
      <c r="M88" s="105"/>
      <c r="N88" s="105"/>
      <c r="O88" s="105"/>
      <c r="P88" s="60"/>
    </row>
    <row r="89" spans="2:26" ht="16.5" thickTop="1" thickBot="1">
      <c r="B89" s="81"/>
      <c r="C89" s="103"/>
      <c r="D89" s="56"/>
      <c r="F89" s="76"/>
      <c r="G89" s="63" t="s">
        <v>112</v>
      </c>
      <c r="H89" s="64" t="s">
        <v>111</v>
      </c>
      <c r="I89" s="43"/>
      <c r="J89" s="56"/>
      <c r="L89" s="55" t="s">
        <v>139</v>
      </c>
      <c r="M89" s="49" t="s">
        <v>140</v>
      </c>
      <c r="N89" s="103"/>
      <c r="O89" s="103"/>
      <c r="P89" s="56"/>
    </row>
    <row r="90" spans="2:26" ht="16.5" thickTop="1" thickBot="1">
      <c r="B90" s="76" t="s">
        <v>141</v>
      </c>
      <c r="C90" s="340" t="s">
        <v>109</v>
      </c>
      <c r="D90" s="341"/>
      <c r="F90" s="122" t="str">
        <f>_xlfn.XLOOKUP(G88,Gewasopbrengst_0[Gewasopbrengst gehele plant],Gewasopbrengst_0[Gewasopbrengst 1])</f>
        <v>Miscanthus</v>
      </c>
      <c r="G90" s="49" t="s">
        <v>79</v>
      </c>
      <c r="H90" s="45"/>
      <c r="I90" s="128" cm="1">
        <f t="array" ref="I90">IF(ISBLANK(H90),INDEX(Gewasopbrengst_1[[Geen]:[Waarde MIN]],_xlfn.XMATCH(Miscanthus!G88,Gewasopbrengst_1[Gewasopbrengst 1]),_xlfn.XMATCH(Miscanthus!G90,Gewasopbrengst_1[[#Headers],[Geen]:[Waarde MIN]])),H90)</f>
        <v>10</v>
      </c>
      <c r="J90" s="56" t="s">
        <v>142</v>
      </c>
      <c r="L90" s="76" t="s">
        <v>143</v>
      </c>
      <c r="M90" s="103"/>
      <c r="N90" s="103"/>
      <c r="O90" s="103"/>
      <c r="P90" s="56"/>
    </row>
    <row r="91" spans="2:26" ht="16.5" thickTop="1" thickBot="1">
      <c r="B91" s="55" t="str">
        <f>F90</f>
        <v>Miscanthus</v>
      </c>
      <c r="C91" s="130">
        <f>I90</f>
        <v>10</v>
      </c>
      <c r="D91" s="56" t="s">
        <v>142</v>
      </c>
      <c r="F91" s="122" t="str">
        <f>_xlfn.XLOOKUP(G88,Gewasopbrengst_0[Gewasopbrengst gehele plant],Gewasopbrengst_0[Gewasopbrengst 2])</f>
        <v>Opbrengst 2</v>
      </c>
      <c r="G91" s="49" t="s">
        <v>114</v>
      </c>
      <c r="H91" s="201"/>
      <c r="I91" s="129" cm="1">
        <f t="array" ref="I91">IF(ISBLANK(H91),INDEX(Gewasopbrengst_2[[Geen]:[Waarde MIN]],_xlfn.XMATCH(Miscanthus!G88,Gewasopbrengst_2[Gewasopbrengst 2]),_xlfn.XMATCH(Miscanthus!G91,Gewasopbrengst_2[[#Headers],[Geen]:[Waarde MIN]])),H91)</f>
        <v>0</v>
      </c>
      <c r="J91" s="56" t="s">
        <v>142</v>
      </c>
      <c r="L91" s="122" t="str">
        <f>F90</f>
        <v>Miscanthus</v>
      </c>
      <c r="M91" s="49" t="s">
        <v>79</v>
      </c>
      <c r="N91" s="45"/>
      <c r="O91" s="47" cm="1">
        <f t="array" ref="O91">IF(ISBLANK(N91),INDEX(GehalteDS_1[[Geen]:[Waarde MIN]],_xlfn.XMATCH(Miscanthus!G88,GehalteDS_1[DS-gehalte 1]),_xlfn.XMATCH(Miscanthus!M91,GehalteDS_1[[#Headers],[Geen]:[Waarde MIN]])),N91)</f>
        <v>0.8</v>
      </c>
      <c r="P91" s="56" t="s">
        <v>144</v>
      </c>
    </row>
    <row r="92" spans="2:26" ht="16.5" thickTop="1" thickBot="1">
      <c r="B92" s="55" t="str">
        <f>F91</f>
        <v>Opbrengst 2</v>
      </c>
      <c r="C92" s="130">
        <f>I91</f>
        <v>0</v>
      </c>
      <c r="D92" s="56" t="s">
        <v>142</v>
      </c>
      <c r="F92" s="55"/>
      <c r="G92" s="103"/>
      <c r="H92" s="103"/>
      <c r="I92" s="43"/>
      <c r="J92" s="56"/>
      <c r="L92" s="122" t="str">
        <f>F91</f>
        <v>Opbrengst 2</v>
      </c>
      <c r="M92" s="49" t="s">
        <v>126</v>
      </c>
      <c r="N92" s="201"/>
      <c r="O92" s="216" cm="1">
        <f t="array" ref="O92">IF(ISBLANK(N92),INDEX(GehalteDS_2[[Geen]:[Waarde MIN]],_xlfn.XMATCH(Miscanthus!G88,GehalteDS_2[DS-gehalte 2]),_xlfn.XMATCH(Miscanthus!M92,GehalteDS_2[[#Headers],[Geen]:[Waarde MIN]])),N92)</f>
        <v>0</v>
      </c>
      <c r="P92" s="56" t="s">
        <v>144</v>
      </c>
    </row>
    <row r="93" spans="2:26" ht="16.5" thickTop="1" thickBot="1">
      <c r="B93" s="55"/>
      <c r="C93" s="103"/>
      <c r="D93" s="56"/>
      <c r="F93" s="76" t="s">
        <v>145</v>
      </c>
      <c r="G93" s="63" t="s">
        <v>112</v>
      </c>
      <c r="H93" s="64" t="s">
        <v>111</v>
      </c>
      <c r="I93" s="43"/>
      <c r="J93" s="56"/>
      <c r="L93" s="55"/>
      <c r="M93" s="103"/>
      <c r="N93" s="103"/>
      <c r="O93" s="103"/>
      <c r="P93" s="56"/>
    </row>
    <row r="94" spans="2:26" ht="16.5" thickTop="1" thickBot="1">
      <c r="B94" s="76" t="str">
        <f>F93</f>
        <v xml:space="preserve">Opbrengstprijzen </v>
      </c>
      <c r="C94" s="340" t="s">
        <v>109</v>
      </c>
      <c r="D94" s="341"/>
      <c r="F94" s="55" t="str">
        <f>F90</f>
        <v>Miscanthus</v>
      </c>
      <c r="G94" s="49" t="s">
        <v>79</v>
      </c>
      <c r="H94" s="45"/>
      <c r="I94" s="43" cm="1">
        <f t="array" ref="I94">IF(ISBLANK(H94),INDEX(Opbrengstprijs_1[[Geen]:[Waarde MIN]],_xlfn.XMATCH(Miscanthus!G88,Opbrengstprijs_1[Opbrengstprijs 1]),_xlfn.XMATCH(Miscanthus!G94,Opbrengstprijs_1[[#Headers],[Geen]:[Waarde MIN]])),H94)</f>
        <v>100</v>
      </c>
      <c r="J94" s="56" t="s">
        <v>146</v>
      </c>
      <c r="L94" s="55" t="s">
        <v>147</v>
      </c>
      <c r="M94" s="49" t="s">
        <v>212</v>
      </c>
      <c r="N94" s="103"/>
      <c r="O94" s="103"/>
      <c r="P94" s="56"/>
    </row>
    <row r="95" spans="2:26" ht="16.5" thickTop="1" thickBot="1">
      <c r="B95" s="55" t="str">
        <f>F94</f>
        <v>Miscanthus</v>
      </c>
      <c r="C95" s="43">
        <f>I94*I90</f>
        <v>1000</v>
      </c>
      <c r="D95" s="56" t="s">
        <v>149</v>
      </c>
      <c r="F95" s="55" t="str">
        <f>F91</f>
        <v>Opbrengst 2</v>
      </c>
      <c r="G95" s="49" t="s">
        <v>126</v>
      </c>
      <c r="H95" s="201"/>
      <c r="I95" s="107" cm="1">
        <f t="array" ref="I95">IF(ISBLANK(H95),INDEX(Opbrengstprijs_2[[Geen]:[Waarde MIN]],_xlfn.XMATCH(Miscanthus!G88,Opbrengstprijs_2[Opbrengstprijs 2]),_xlfn.XMATCH(Miscanthus!G95,Opbrengstprijs_2[[#Headers],[Geen]:[Waarde MIN]])),H95)</f>
        <v>0</v>
      </c>
      <c r="J95" s="56" t="s">
        <v>146</v>
      </c>
      <c r="L95" s="55"/>
      <c r="M95" s="103"/>
      <c r="N95" s="103"/>
      <c r="O95" s="103"/>
      <c r="P95" s="56"/>
    </row>
    <row r="96" spans="2:26" ht="16" thickTop="1">
      <c r="B96" s="55" t="str">
        <f>F95</f>
        <v>Opbrengst 2</v>
      </c>
      <c r="C96" s="43">
        <f>I95*I91</f>
        <v>0</v>
      </c>
      <c r="D96" s="56" t="s">
        <v>149</v>
      </c>
      <c r="F96" s="215"/>
      <c r="G96" s="104"/>
      <c r="H96" s="104"/>
      <c r="I96" s="118"/>
      <c r="J96" s="58"/>
      <c r="L96" s="76" t="s">
        <v>150</v>
      </c>
      <c r="M96" s="63" t="s">
        <v>112</v>
      </c>
      <c r="N96" s="64" t="s">
        <v>111</v>
      </c>
      <c r="O96" s="103"/>
      <c r="P96" s="56"/>
    </row>
    <row r="97" spans="2:16">
      <c r="B97" s="55"/>
      <c r="C97" s="103"/>
      <c r="D97" s="56"/>
      <c r="L97" s="114" t="s">
        <v>151</v>
      </c>
      <c r="M97" s="120">
        <f>_xlfn.XLOOKUP(M94,B91:B92,C91:C92)</f>
        <v>10</v>
      </c>
      <c r="N97" s="135"/>
      <c r="O97" s="108">
        <f>IF(M89="Ja",IF(ISBLANK(N97),M97,N97),0)</f>
        <v>10</v>
      </c>
      <c r="P97" s="112" t="s">
        <v>152</v>
      </c>
    </row>
    <row r="98" spans="2:16" s="195" customFormat="1">
      <c r="B98" s="76" t="s">
        <v>153</v>
      </c>
      <c r="C98" s="340" t="s">
        <v>109</v>
      </c>
      <c r="D98" s="341"/>
      <c r="F98" s="165" t="s">
        <v>154</v>
      </c>
      <c r="G98" s="166"/>
      <c r="H98" s="166"/>
      <c r="I98" s="175"/>
      <c r="J98" s="167"/>
      <c r="L98" s="114"/>
      <c r="M98" s="73"/>
      <c r="N98" s="73"/>
      <c r="O98" s="127">
        <f>_xlfn.XLOOKUP(M94,L91:L92,O91:O92)</f>
        <v>0.8</v>
      </c>
      <c r="P98" s="112" t="s">
        <v>144</v>
      </c>
    </row>
    <row r="99" spans="2:16" ht="16" thickBot="1">
      <c r="B99" s="55" t="str">
        <f>F100</f>
        <v>Oogstkosten Miscanthus</v>
      </c>
      <c r="C99" s="42">
        <f>I100</f>
        <v>304.14999999999998</v>
      </c>
      <c r="D99" s="56" t="s">
        <v>88</v>
      </c>
      <c r="F99" s="168"/>
      <c r="G99" s="103"/>
      <c r="H99" s="103"/>
      <c r="I99" s="43"/>
      <c r="J99" s="176"/>
      <c r="L99" s="125" t="s">
        <v>155</v>
      </c>
      <c r="M99" s="73"/>
      <c r="N99" s="73"/>
      <c r="O99" s="107">
        <f>IFERROR(O97/O98,0)</f>
        <v>12.5</v>
      </c>
      <c r="P99" s="56" t="s">
        <v>156</v>
      </c>
    </row>
    <row r="100" spans="2:16" ht="16.5" thickTop="1" thickBot="1">
      <c r="B100" s="55" t="str">
        <f>F110</f>
        <v>Opslag - Plant/blad &amp; stengelmateriaal</v>
      </c>
      <c r="C100" s="42">
        <f>IFERROR(#REF!/#REF!,0)</f>
        <v>0</v>
      </c>
      <c r="D100" s="56" t="s">
        <v>88</v>
      </c>
      <c r="F100" s="189" t="str">
        <f>_xlfn.CONCAT("Oogstkosten ",F90)</f>
        <v>Oogstkosten Miscanthus</v>
      </c>
      <c r="G100" s="63" t="s">
        <v>112</v>
      </c>
      <c r="H100" s="64" t="s">
        <v>111</v>
      </c>
      <c r="I100" s="41">
        <f>SUM(I106,I103)</f>
        <v>304.14999999999998</v>
      </c>
      <c r="J100" s="177" t="s">
        <v>88</v>
      </c>
      <c r="L100" s="114" t="str">
        <f>'DATA - Variabelen &amp; waarden'!B383</f>
        <v xml:space="preserve">Drogestofgehalte output </v>
      </c>
      <c r="M100" s="49" t="s">
        <v>79</v>
      </c>
      <c r="N100" s="45"/>
      <c r="O100" s="127" cm="1">
        <f t="array" ref="O100">IF(ISBLANK(N100),INDEX(VoorDroog[[#All],[Geen]:[Waarde MIN]],_xlfn.XMATCH(Miscanthus!L100,VoorDroog[[#All],[Voordrogen]]),_xlfn.XMATCH(Miscanthus!M100,VoorDroog[[#Headers],[Geen]:[Waarde MIN]])),N100)</f>
        <v>0.9</v>
      </c>
      <c r="P100" s="112" t="s">
        <v>144</v>
      </c>
    </row>
    <row r="101" spans="2:16" ht="16.5" thickTop="1" thickBot="1">
      <c r="B101" s="55" t="str">
        <f>F117</f>
        <v>Oogstkosten Opbrengst 2</v>
      </c>
      <c r="C101" s="42">
        <f>I117</f>
        <v>0</v>
      </c>
      <c r="D101" s="56" t="s">
        <v>88</v>
      </c>
      <c r="F101" s="185" t="s">
        <v>213</v>
      </c>
      <c r="G101" s="49" t="s">
        <v>79</v>
      </c>
      <c r="H101" s="45"/>
      <c r="I101" s="108" cm="1">
        <f t="array" ref="I101">IF(ISBLANK(H101),INDEX(HarvestCost01[[#All],[Geen]:[Waarde MIN]],_xlfn.XMATCH(Miscanthus!F101,HarvestCost01[[#All],[Oogst - tarief - Gehele plant/blad &amp; stengelmateriaal]]),_xlfn.XMATCH(Miscanthus!G101,HarvestCost01[[#Headers],[Geen]:[Waarde MIN]])),H101)</f>
        <v>317</v>
      </c>
      <c r="J101" s="181" t="s">
        <v>117</v>
      </c>
      <c r="L101" s="125" t="s">
        <v>158</v>
      </c>
      <c r="M101" s="103"/>
      <c r="N101" s="103"/>
      <c r="O101" s="42">
        <f>IFERROR(IF($O$98&lt;$O$100,O97/O100,0),0)</f>
        <v>11.111111111111111</v>
      </c>
      <c r="P101" s="56" t="s">
        <v>156</v>
      </c>
    </row>
    <row r="102" spans="2:16" ht="16.5" thickTop="1" thickBot="1">
      <c r="B102" s="55" t="str">
        <f>F127</f>
        <v>Opslag - Zaden</v>
      </c>
      <c r="C102" s="42">
        <f>IFERROR(#REF!/#REF!,0)</f>
        <v>0</v>
      </c>
      <c r="D102" s="56" t="s">
        <v>88</v>
      </c>
      <c r="F102" s="179" t="s">
        <v>159</v>
      </c>
      <c r="G102" s="49" t="s">
        <v>126</v>
      </c>
      <c r="H102" s="45"/>
      <c r="I102" s="187" cm="1">
        <f t="array" ref="I102">IF(ISBLANK(H102),INDEX('DATA - Variabelen &amp; waarden'!D298:G307,_xlfn.XMATCH(Miscanthus!F101,'DATA - Variabelen &amp; waarden'!B298:B307),_xlfn.XMATCH(Miscanthus!G102,'DATA - Variabelen &amp; waarden'!D298:G298)),H102)</f>
        <v>0.75</v>
      </c>
      <c r="J102" s="188" t="s">
        <v>116</v>
      </c>
      <c r="L102" s="134" t="s">
        <v>160</v>
      </c>
      <c r="M102" s="132"/>
      <c r="N102" s="132"/>
      <c r="O102" s="144">
        <f>IF(O98&lt;O100,O99-O101,0)</f>
        <v>1.3888888888888893</v>
      </c>
      <c r="P102" s="133" t="s">
        <v>156</v>
      </c>
    </row>
    <row r="103" spans="2:16" ht="16.5" thickTop="1" thickBot="1">
      <c r="B103" s="145" t="s">
        <v>161</v>
      </c>
      <c r="C103" s="42">
        <f>IFERROR(#REF!/#REF!,0)</f>
        <v>0</v>
      </c>
      <c r="D103" s="146" t="s">
        <v>88</v>
      </c>
      <c r="F103" s="186" t="s">
        <v>162</v>
      </c>
      <c r="G103" s="173">
        <f>I101*I102</f>
        <v>237.75</v>
      </c>
      <c r="H103" s="45"/>
      <c r="I103" s="107">
        <f>IF(ISBLANK(H103),G103,H103)</f>
        <v>237.75</v>
      </c>
      <c r="J103" s="162" t="s">
        <v>88</v>
      </c>
      <c r="L103" s="55" t="s">
        <v>163</v>
      </c>
      <c r="M103" s="49" t="s">
        <v>129</v>
      </c>
      <c r="N103" s="142"/>
      <c r="O103" s="48" cm="1">
        <f t="array" ref="O103">IF(ISBLANK(N103),_xlfn.XLOOKUP(M103,Tabel37[[#Headers],[Geen]:[Waarde MIN]],'DATA - Variabelen &amp; waarden'!D415:G415,"Selecteer waarde"),N103)</f>
        <v>10</v>
      </c>
      <c r="P103" s="56" t="s">
        <v>164</v>
      </c>
    </row>
    <row r="104" spans="2:16" ht="16.5" thickTop="1" thickBot="1">
      <c r="B104" s="78" t="s">
        <v>165</v>
      </c>
      <c r="C104" s="147">
        <f>SUM(C99:C103)</f>
        <v>304.14999999999998</v>
      </c>
      <c r="D104" s="217" t="s">
        <v>88</v>
      </c>
      <c r="F104" s="179" t="str">
        <f>HarvestCost11[[#Headers],[Veld &amp; opslaglogistiek - tarief - Gehele plant/blad &amp; stengelmateriaal]]</f>
        <v>Veld &amp; opslaglogistiek - tarief - Gehele plant/blad &amp; stengelmateriaal</v>
      </c>
      <c r="G104" s="49" t="s">
        <v>79</v>
      </c>
      <c r="H104" s="45"/>
      <c r="I104" s="187" cm="1">
        <f t="array" ref="I104">IF(ISBLANK(H104),_xlfn.XLOOKUP(G104,HarvestCost11[[#Headers],[Geen]:[Waarde MIN]],HarvestCost11[[#Totals],[Geen]:[Waarde MIN]]),H104)</f>
        <v>80</v>
      </c>
      <c r="J104" s="188" t="s">
        <v>117</v>
      </c>
      <c r="L104" s="55"/>
      <c r="M104" s="103"/>
      <c r="N104" s="103"/>
      <c r="O104" s="103"/>
      <c r="P104" s="56"/>
    </row>
    <row r="105" spans="2:16" ht="16.5" thickTop="1" thickBot="1">
      <c r="F105" s="179" t="s">
        <v>166</v>
      </c>
      <c r="G105" s="49" t="s">
        <v>79</v>
      </c>
      <c r="H105" s="45"/>
      <c r="I105" s="187" cm="1">
        <f t="array" ref="I105">IF(ISBLANK(H105),INDEX('DATA - Variabelen &amp; waarden'!D298:G307,_xlfn.XMATCH(Miscanthus!F101,'DATA - Variabelen &amp; waarden'!B298:B307),_xlfn.XMATCH(Miscanthus!G105,'DATA - Variabelen &amp; waarden'!D298:G298)),H105)</f>
        <v>0.83</v>
      </c>
      <c r="J105" s="188" t="s">
        <v>116</v>
      </c>
      <c r="L105" s="76" t="s">
        <v>167</v>
      </c>
      <c r="M105" s="63" t="s">
        <v>112</v>
      </c>
      <c r="N105" s="64" t="s">
        <v>111</v>
      </c>
      <c r="O105" s="103"/>
      <c r="P105" s="56"/>
    </row>
    <row r="106" spans="2:16" ht="16.5" thickTop="1" thickBot="1">
      <c r="F106" s="186" t="s">
        <v>168</v>
      </c>
      <c r="G106" s="173">
        <f>I104*I105</f>
        <v>66.399999999999991</v>
      </c>
      <c r="H106" s="45"/>
      <c r="I106" s="107">
        <f>IF(ISBLANK(H106),G106,H106)</f>
        <v>66.399999999999991</v>
      </c>
      <c r="J106" s="162" t="s">
        <v>88</v>
      </c>
      <c r="L106" s="114" t="s">
        <v>169</v>
      </c>
      <c r="M106" s="73"/>
      <c r="N106" s="45">
        <v>25</v>
      </c>
      <c r="O106" s="73">
        <f>N106</f>
        <v>25</v>
      </c>
      <c r="P106" s="112" t="s">
        <v>170</v>
      </c>
    </row>
    <row r="107" spans="2:16" ht="16.5" thickTop="1" thickBot="1">
      <c r="F107" s="160"/>
      <c r="G107" s="161"/>
      <c r="H107" s="161"/>
      <c r="I107" s="173"/>
      <c r="J107" s="162"/>
      <c r="L107" s="138" t="s">
        <v>171</v>
      </c>
      <c r="M107" s="49" t="s">
        <v>79</v>
      </c>
      <c r="N107" s="45"/>
      <c r="O107" s="137" cm="1">
        <f t="array" ref="O107">IF(ISBLANK(N107),INDEX(ProcesCost01[[#All],[Geen]:[Waarde MIN]],_xlfn.XMATCH(Miscanthus!L107,ProcesCost01[[#All],[Transportkosten]]),_xlfn.XMATCH(Miscanthus!M107,ProcesCost01[[#Headers],[Geen]:[Waarde MIN]])),N107)</f>
        <v>0.12</v>
      </c>
      <c r="P107" s="112" t="s">
        <v>172</v>
      </c>
    </row>
    <row r="108" spans="2:16" ht="16.5" thickTop="1" thickBot="1">
      <c r="F108" s="189" t="str">
        <f>_xlfn.CONCAT("Bewaarmethode ",F90)</f>
        <v>Bewaarmethode Miscanthus</v>
      </c>
      <c r="G108" s="103"/>
      <c r="H108" s="103"/>
      <c r="I108" s="43"/>
      <c r="J108" s="176"/>
      <c r="L108" s="125" t="s">
        <v>173</v>
      </c>
      <c r="M108" s="103"/>
      <c r="N108" s="45"/>
      <c r="O108" s="107">
        <f>IF(ISBLANK(N108),IF($O$98&lt;$O$100,O106*O107*O99,0),N108)</f>
        <v>37.5</v>
      </c>
      <c r="P108" s="56" t="s">
        <v>174</v>
      </c>
    </row>
    <row r="109" spans="2:16" ht="16.5" thickTop="1" thickBot="1">
      <c r="F109" s="178" t="s">
        <v>197</v>
      </c>
      <c r="G109" s="49" t="s">
        <v>79</v>
      </c>
      <c r="H109" s="45"/>
      <c r="I109" s="43" cm="1">
        <f t="array" ref="I109">IF(ISBLANK(H109),INDEX(Stock1[[#All],[Geen]:[Waarde MIN]],_xlfn.XMATCH(Miscanthus!F109,Stock1[[#All],[Bewaarmethode - Plant/blad &amp; stengelmateriaal]]),_xlfn.XMATCH(Miscanthus!G109,Stock1[[#Headers],[Geen]:[Waarde MIN]])),H109)</f>
        <v>125</v>
      </c>
      <c r="J109" s="176" t="s">
        <v>176</v>
      </c>
      <c r="L109" s="122"/>
      <c r="M109" s="103"/>
      <c r="N109" s="103"/>
      <c r="O109" s="103"/>
      <c r="P109" s="56"/>
    </row>
    <row r="110" spans="2:16" ht="16.5" thickTop="1" thickBot="1">
      <c r="F110" s="189" t="str">
        <f>Stock11[[#Headers],[Opslag - Plant/blad &amp; stengelmateriaal]]</f>
        <v>Opslag - Plant/blad &amp; stengelmateriaal</v>
      </c>
      <c r="G110" s="103"/>
      <c r="H110" s="103"/>
      <c r="I110" s="43"/>
      <c r="J110" s="176"/>
      <c r="L110" s="114" t="s">
        <v>177</v>
      </c>
      <c r="M110" s="73"/>
      <c r="N110" s="45"/>
      <c r="O110" s="73">
        <f>N110</f>
        <v>0</v>
      </c>
      <c r="P110" s="112" t="s">
        <v>170</v>
      </c>
    </row>
    <row r="111" spans="2:16" ht="16.5" thickTop="1" thickBot="1">
      <c r="F111" s="178" t="s">
        <v>628</v>
      </c>
      <c r="G111" s="49" t="s">
        <v>79</v>
      </c>
      <c r="H111" s="45"/>
      <c r="I111" s="48" cm="1">
        <f t="array" ref="I111">IF(ISBLANK(H111),INDEX(Stock11[[#All],[Geen]:[Waarde MIN]],_xlfn.XMATCH(Miscanthus!F111,Stock11[[#All],[Opslag - Plant/blad &amp; stengelmateriaal]]),_xlfn.XMATCH(Miscanthus!G111,Stock11[[#Headers],[Geen]:[Waarde MIN]])),H111)</f>
        <v>2</v>
      </c>
      <c r="J111" s="176" t="s">
        <v>176</v>
      </c>
      <c r="L111" s="138" t="s">
        <v>114</v>
      </c>
      <c r="M111" s="49" t="s">
        <v>79</v>
      </c>
      <c r="N111" s="45"/>
      <c r="O111" s="137" cm="1">
        <f t="array" ref="O111">IF(ISBLANK(N111),INDEX(ProcesCost01[[#All],[Geen]:[Waarde MIN]],_xlfn.XMATCH(Miscanthus!L111,ProcesCost01[[#All],[Transportkosten]]),_xlfn.XMATCH(Miscanthus!M111,ProcesCost01[[#Headers],[Geen]:[Waarde MIN]])),N111)</f>
        <v>0</v>
      </c>
      <c r="P111" s="112" t="s">
        <v>172</v>
      </c>
    </row>
    <row r="112" spans="2:16" ht="16.5" thickTop="1" thickBot="1">
      <c r="F112" s="180" t="s">
        <v>179</v>
      </c>
      <c r="G112" s="103"/>
      <c r="H112" s="103"/>
      <c r="I112" s="43"/>
      <c r="J112" s="176"/>
      <c r="L112" s="125" t="s">
        <v>180</v>
      </c>
      <c r="M112" s="103"/>
      <c r="N112" s="45"/>
      <c r="O112" s="107">
        <f>IF(ISBLANK(N112),O110*O111*O101,N112)</f>
        <v>0</v>
      </c>
      <c r="P112" s="56" t="s">
        <v>174</v>
      </c>
    </row>
    <row r="113" spans="6:16" ht="16.5" thickTop="1" thickBot="1">
      <c r="F113" s="178" t="s">
        <v>181</v>
      </c>
      <c r="G113" s="49" t="s">
        <v>79</v>
      </c>
      <c r="H113" s="45"/>
      <c r="I113" s="108" cm="1">
        <f t="array" ref="I113">IF(ISBLANK(H113),INDEX(StockBales[[#All],[Geen]:[Waarde MIN]],_xlfn.XMATCH(F113,StockBales[[#All],[DS inhoud balen ]]),_xlfn.XMATCH(Miscanthus!G113,StockBales[[#Headers],[Geen]:[Waarde MIN]])),H113)</f>
        <v>299.70000000000005</v>
      </c>
      <c r="J113" s="181" t="s">
        <v>182</v>
      </c>
      <c r="L113" s="122"/>
      <c r="M113" s="103"/>
      <c r="N113" s="103"/>
      <c r="O113" s="103"/>
      <c r="P113" s="56"/>
    </row>
    <row r="114" spans="6:16" ht="16.5" thickTop="1" thickBot="1">
      <c r="F114" s="182" t="s">
        <v>183</v>
      </c>
      <c r="G114" s="103"/>
      <c r="H114" s="103"/>
      <c r="I114" s="107">
        <f>IF(OR(F109='DATA - Variabelen &amp; waarden'!B343,F109='DATA - Variabelen &amp; waarden'!B344,F109='DATA - Variabelen &amp; waarden'!B346),I113/1000*I109,0)</f>
        <v>0</v>
      </c>
      <c r="J114" s="176" t="s">
        <v>184</v>
      </c>
      <c r="L114" s="76" t="s">
        <v>185</v>
      </c>
      <c r="M114" s="63" t="s">
        <v>112</v>
      </c>
      <c r="N114" s="64" t="s">
        <v>111</v>
      </c>
      <c r="O114" s="103"/>
      <c r="P114" s="56"/>
    </row>
    <row r="115" spans="6:16" ht="16.5" thickTop="1" thickBot="1">
      <c r="F115" s="182" t="s">
        <v>186</v>
      </c>
      <c r="G115" s="103"/>
      <c r="H115" s="103"/>
      <c r="I115" s="117">
        <f>IF(OR(F111='DATA - Variabelen &amp; waarden'!B353,F111='DATA - Variabelen &amp; waarden'!B354,F111='DATA - Variabelen &amp; waarden'!B355),Miscanthus!I113/1000*Miscanthus!I111,0)</f>
        <v>0.59940000000000004</v>
      </c>
      <c r="J115" s="176" t="s">
        <v>184</v>
      </c>
      <c r="L115" s="138" t="s">
        <v>665</v>
      </c>
      <c r="M115" s="49" t="s">
        <v>126</v>
      </c>
      <c r="N115" s="53"/>
      <c r="O115" s="140" cm="1">
        <f t="array" ref="O115">IF(ISBLANK(N115),INDEX(DryingCost1[[#All],[Geen]:[Waarde MIN]],_xlfn.XMATCH(Miscanthus!L115,DryingCost1[[#All],[Drogen - Kosten]]),_xlfn.XMATCH(Miscanthus!M115,DryingCost1[[#Headers],[Geen]:[Waarde MIN]])),N115)</f>
        <v>400</v>
      </c>
      <c r="P115" s="112" t="s">
        <v>188</v>
      </c>
    </row>
    <row r="116" spans="6:16" ht="16.5" thickTop="1" thickBot="1">
      <c r="F116" s="168"/>
      <c r="G116" s="103"/>
      <c r="H116" s="103"/>
      <c r="I116" s="43"/>
      <c r="J116" s="176"/>
      <c r="L116" s="124" t="s">
        <v>189</v>
      </c>
      <c r="M116" s="49" t="s">
        <v>129</v>
      </c>
      <c r="N116" s="52"/>
      <c r="O116" s="141" cm="1">
        <f t="array" ref="O116">IF(ISBLANK(N116),INDEX(DryingCost11[[#All],[Geen]:[Waarde MIN]],_xlfn.XMATCH(Miscanthus!L115,DryingCost11[[#All],[Drogen - Producteffciency]]),_xlfn.XMATCH(Miscanthus!M116,DryingCost11[[#Headers],[Geen]:[Waarde MIN]])),N116)</f>
        <v>1</v>
      </c>
      <c r="P116" s="112" t="s">
        <v>190</v>
      </c>
    </row>
    <row r="117" spans="6:16" ht="16.5" thickTop="1" thickBot="1">
      <c r="F117" s="189" t="str">
        <f>_xlfn.CONCAT("Oogstkosten ",F91)</f>
        <v>Oogstkosten Opbrengst 2</v>
      </c>
      <c r="G117" s="63" t="s">
        <v>112</v>
      </c>
      <c r="H117" s="64" t="s">
        <v>111</v>
      </c>
      <c r="I117" s="174">
        <f>SUM(I120,I123)</f>
        <v>0</v>
      </c>
      <c r="J117" s="177" t="s">
        <v>88</v>
      </c>
      <c r="L117" s="139" t="s">
        <v>185</v>
      </c>
      <c r="M117" s="103"/>
      <c r="N117" s="45"/>
      <c r="O117" s="107">
        <f>IF(ISBLANK(N117),O115*O102,N117)</f>
        <v>555.55555555555566</v>
      </c>
      <c r="P117" s="56" t="s">
        <v>174</v>
      </c>
    </row>
    <row r="118" spans="6:16" ht="16.5" thickTop="1" thickBot="1">
      <c r="F118" s="185" t="s">
        <v>114</v>
      </c>
      <c r="G118" s="49" t="s">
        <v>79</v>
      </c>
      <c r="H118" s="45"/>
      <c r="I118" s="187" cm="1">
        <f t="array" ref="I118">IF(ISBLANK(H118),INDEX(HarvestCost2[[#All],[Geen]:[Waarde MIN]],_xlfn.XMATCH(Miscanthus!F118,HarvestCost2[[#All],[Oogst - tarief - Zaden]]),_xlfn.XMATCH(Miscanthus!G118,HarvestCost2[[#Headers],[Geen]:[Waarde MIN]])),H118)</f>
        <v>0</v>
      </c>
      <c r="J118" s="181" t="s">
        <v>117</v>
      </c>
      <c r="L118" s="125" t="s">
        <v>191</v>
      </c>
      <c r="M118" s="103"/>
      <c r="N118" s="103"/>
      <c r="O118" s="42">
        <f>O101*O116</f>
        <v>11.111111111111111</v>
      </c>
      <c r="P118" s="56" t="s">
        <v>156</v>
      </c>
    </row>
    <row r="119" spans="6:16" ht="16.5" thickTop="1" thickBot="1">
      <c r="F119" s="191" t="s">
        <v>159</v>
      </c>
      <c r="G119" s="190" t="s">
        <v>79</v>
      </c>
      <c r="H119" s="45"/>
      <c r="I119" s="193" cm="1">
        <f t="array" ref="I119">IF(ISBLANK(H119),INDEX('DATA - Variabelen &amp; waarden'!D323:G329,_xlfn.XMATCH(Miscanthus!F118,'DATA - Variabelen &amp; waarden'!B323:B329),_xlfn.XMATCH(Miscanthus!G119,'DATA - Variabelen &amp; waarden'!D323:G323)),H119)</f>
        <v>0</v>
      </c>
      <c r="J119" s="194" t="s">
        <v>116</v>
      </c>
      <c r="L119" s="125" t="s">
        <v>192</v>
      </c>
      <c r="M119" s="103"/>
      <c r="N119" s="103"/>
      <c r="O119" s="42">
        <f>O101-O118</f>
        <v>0</v>
      </c>
      <c r="P119" s="56" t="s">
        <v>156</v>
      </c>
    </row>
    <row r="120" spans="6:16" ht="16.5" thickTop="1" thickBot="1">
      <c r="F120" s="186" t="s">
        <v>162</v>
      </c>
      <c r="G120" s="173">
        <f>I118*I119</f>
        <v>0</v>
      </c>
      <c r="H120" s="45"/>
      <c r="I120" s="107">
        <f>IF(ISBLANK(H120),G120,H120)</f>
        <v>0</v>
      </c>
      <c r="J120" s="162" t="s">
        <v>88</v>
      </c>
      <c r="L120" s="55"/>
      <c r="M120" s="103"/>
      <c r="N120" s="103"/>
      <c r="O120" s="103"/>
      <c r="P120" s="56"/>
    </row>
    <row r="121" spans="6:16" ht="18" customHeight="1" thickTop="1" thickBot="1">
      <c r="F121" s="179" t="str">
        <f>HarvestCost21[[#Headers],[Veld &amp; opslaglogistiek - tarief - Zaden]]</f>
        <v>Veld &amp; opslaglogistiek - tarief - Zaden</v>
      </c>
      <c r="G121" s="49" t="s">
        <v>114</v>
      </c>
      <c r="H121" s="45"/>
      <c r="I121" s="187" cm="1">
        <f t="array" ref="I121">IF(ISBLANK(H121),_xlfn.XLOOKUP(G121,HarvestCost21[[#Headers],[Geen]:[Waarde MIN]],HarvestCost21[[#Totals],[Geen]:[Waarde MIN]]),H121)</f>
        <v>0</v>
      </c>
      <c r="J121" s="188" t="s">
        <v>117</v>
      </c>
      <c r="L121" s="123" t="s">
        <v>80</v>
      </c>
      <c r="M121" s="103"/>
      <c r="N121" s="103"/>
      <c r="O121" s="103"/>
      <c r="P121" s="56"/>
    </row>
    <row r="122" spans="6:16" ht="16.5" thickTop="1" thickBot="1">
      <c r="F122" s="179" t="s">
        <v>166</v>
      </c>
      <c r="G122" s="49" t="s">
        <v>114</v>
      </c>
      <c r="H122" s="45"/>
      <c r="I122" s="192" cm="1">
        <f t="array" ref="I122">IF(ISBLANK(H122),INDEX('DATA - Variabelen &amp; waarden'!D323:G329,_xlfn.XMATCH(Miscanthus!F118,'DATA - Variabelen &amp; waarden'!B323:B329),_xlfn.XMATCH(Miscanthus!G122,'DATA - Variabelen &amp; waarden'!D323:G323)),H122)</f>
        <v>0</v>
      </c>
      <c r="J122" s="188" t="s">
        <v>116</v>
      </c>
      <c r="L122" s="122" t="s">
        <v>193</v>
      </c>
      <c r="M122" s="103"/>
      <c r="N122" s="103"/>
      <c r="O122" s="42">
        <f>O108</f>
        <v>37.5</v>
      </c>
      <c r="P122" s="56" t="s">
        <v>194</v>
      </c>
    </row>
    <row r="123" spans="6:16" ht="16" thickTop="1">
      <c r="F123" s="186" t="s">
        <v>168</v>
      </c>
      <c r="G123" s="183">
        <f>I121*I122</f>
        <v>0</v>
      </c>
      <c r="H123" s="45"/>
      <c r="I123" s="107">
        <f>IF(ISBLANK(H123),G123,H123)</f>
        <v>0</v>
      </c>
      <c r="J123" s="162" t="s">
        <v>88</v>
      </c>
      <c r="L123" s="122" t="s">
        <v>195</v>
      </c>
      <c r="M123" s="103"/>
      <c r="N123" s="103"/>
      <c r="O123" s="42">
        <f>O112</f>
        <v>0</v>
      </c>
      <c r="P123" s="56" t="s">
        <v>194</v>
      </c>
    </row>
    <row r="124" spans="6:16">
      <c r="F124" s="160"/>
      <c r="G124" s="161"/>
      <c r="H124" s="161"/>
      <c r="I124" s="161"/>
      <c r="J124" s="162"/>
      <c r="L124" s="55" t="s">
        <v>185</v>
      </c>
      <c r="M124" s="103"/>
      <c r="N124" s="103"/>
      <c r="O124" s="42">
        <f>O117</f>
        <v>555.55555555555566</v>
      </c>
      <c r="P124" s="56" t="s">
        <v>194</v>
      </c>
    </row>
    <row r="125" spans="6:16" ht="19" thickBot="1">
      <c r="F125" s="189" t="str">
        <f>_xlfn.CONCAT("Bewaarmethode ",F91)</f>
        <v>Bewaarmethode Opbrengst 2</v>
      </c>
      <c r="G125" s="103"/>
      <c r="H125" s="103"/>
      <c r="I125" s="173"/>
      <c r="J125" s="176"/>
      <c r="L125" s="131" t="s">
        <v>196</v>
      </c>
      <c r="M125" s="103"/>
      <c r="N125" s="103"/>
      <c r="O125" s="136">
        <f>O119*O103</f>
        <v>0</v>
      </c>
      <c r="P125" s="56" t="s">
        <v>194</v>
      </c>
    </row>
    <row r="126" spans="6:16" ht="16.5" thickTop="1" thickBot="1">
      <c r="F126" s="178" t="s">
        <v>197</v>
      </c>
      <c r="G126" s="49" t="s">
        <v>126</v>
      </c>
      <c r="H126" s="45"/>
      <c r="I126" s="43" cm="1">
        <f t="array" ref="I126">IF(ISBLANK(H126),INDEX(Stock1[[Geen]:[Waarde MIN]],_xlfn.XMATCH(Miscanthus!F126,Stock1[Bewaarmethode - Plant/blad &amp; stengelmateriaal]),_xlfn.XMATCH(Miscanthus!G126,Stock1[[#Headers],[Geen]:[Waarde MIN]])),H126)</f>
        <v>50</v>
      </c>
      <c r="J126" s="176" t="s">
        <v>176</v>
      </c>
      <c r="L126" s="143" t="s">
        <v>198</v>
      </c>
      <c r="M126" s="44"/>
      <c r="N126" s="44"/>
      <c r="O126" s="46">
        <f>SUM(O122:O125)</f>
        <v>593.05555555555566</v>
      </c>
      <c r="P126" s="111" t="s">
        <v>199</v>
      </c>
    </row>
    <row r="127" spans="6:16" ht="16.5" thickTop="1" thickBot="1">
      <c r="F127" s="189" t="str">
        <f>Stock21[[#Headers],[Opslag - Zaden]]</f>
        <v>Opslag - Zaden</v>
      </c>
      <c r="G127" s="103"/>
      <c r="H127" s="103"/>
      <c r="I127" s="43"/>
      <c r="J127" s="176"/>
      <c r="L127" s="125" t="s">
        <v>200</v>
      </c>
      <c r="M127" s="103"/>
      <c r="N127" s="103"/>
      <c r="O127" s="107">
        <f>IFERROR(O126/O118,0)</f>
        <v>53.375000000000014</v>
      </c>
      <c r="P127" s="56" t="s">
        <v>164</v>
      </c>
    </row>
    <row r="128" spans="6:16" ht="16.5" thickTop="1" thickBot="1">
      <c r="F128" s="178" t="s">
        <v>201</v>
      </c>
      <c r="G128" s="49" t="s">
        <v>79</v>
      </c>
      <c r="H128" s="45"/>
      <c r="I128" s="48" cm="1">
        <f t="array" ref="I128">IF(ISBLANK(H128),INDEX(Stock21[[#All],[Geen]:[Waarde MIN]],_xlfn.XMATCH(Miscanthus!F128,Stock21[[#All],[Opslag - Zaden]]),_xlfn.XMATCH(Miscanthus!G128,Stock21[[#Headers],[Geen]:[Waarde MIN]])),H128)</f>
        <v>8</v>
      </c>
      <c r="J128" s="176" t="s">
        <v>176</v>
      </c>
      <c r="L128" s="55"/>
      <c r="M128" s="103"/>
      <c r="N128" s="103"/>
      <c r="O128" s="103"/>
      <c r="P128" s="56"/>
    </row>
    <row r="129" spans="2:16" ht="16.5" thickTop="1" thickBot="1">
      <c r="F129" s="184" t="s">
        <v>202</v>
      </c>
      <c r="G129" s="103"/>
      <c r="H129" s="103"/>
      <c r="I129" s="43"/>
      <c r="J129" s="176"/>
      <c r="L129" s="55"/>
      <c r="M129" s="103"/>
      <c r="N129" s="103"/>
      <c r="O129" s="103"/>
      <c r="P129" s="56"/>
    </row>
    <row r="130" spans="2:16" ht="16.5" thickTop="1" thickBot="1">
      <c r="F130" s="178" t="s">
        <v>203</v>
      </c>
      <c r="G130" s="49" t="s">
        <v>129</v>
      </c>
      <c r="H130" s="45"/>
      <c r="I130" s="108" cm="1">
        <f t="array" ref="I130">IF(ISBLANK(H130),INDEX(StockPluis[[#All],[Geen]:[Waarde MIN]],_xlfn.XMATCH(Miscanthus!F130,StockPluis[[#All],[DS inhoud big bag]]),_xlfn.XMATCH(Miscanthus!G130,StockPluis[[#Headers],[Geen]:[Waarde MIN]])),H130)</f>
        <v>1000</v>
      </c>
      <c r="J130" s="181" t="s">
        <v>204</v>
      </c>
      <c r="L130" s="55"/>
      <c r="M130" s="103"/>
      <c r="N130" s="103"/>
      <c r="O130" s="103"/>
      <c r="P130" s="56"/>
    </row>
    <row r="131" spans="2:16" ht="16" thickTop="1">
      <c r="F131" s="182" t="s">
        <v>205</v>
      </c>
      <c r="G131" s="103"/>
      <c r="H131" s="103"/>
      <c r="I131" s="107">
        <f>IF(F126='DATA - Variabelen &amp; waarden'!B368,I130/1000*I126,0)</f>
        <v>50</v>
      </c>
      <c r="J131" s="176" t="s">
        <v>206</v>
      </c>
      <c r="L131" s="55"/>
      <c r="M131" s="103"/>
      <c r="N131" s="103"/>
      <c r="O131" s="103"/>
      <c r="P131" s="56"/>
    </row>
    <row r="132" spans="2:16">
      <c r="F132" s="182" t="s">
        <v>207</v>
      </c>
      <c r="G132" s="103"/>
      <c r="H132" s="103"/>
      <c r="I132" s="117">
        <f>IF(F128='DATA - Variabelen &amp; waarden'!B380,Miscanthus!I130/1000*Miscanthus!I128,0)</f>
        <v>8</v>
      </c>
      <c r="J132" s="176" t="s">
        <v>206</v>
      </c>
      <c r="L132" s="55"/>
      <c r="M132" s="103"/>
      <c r="N132" s="103"/>
      <c r="O132" s="103"/>
      <c r="P132" s="56"/>
    </row>
    <row r="133" spans="2:16">
      <c r="F133" s="57"/>
      <c r="G133" s="104"/>
      <c r="H133" s="104"/>
      <c r="I133" s="104"/>
      <c r="J133" s="58"/>
      <c r="L133" s="57"/>
      <c r="M133" s="104"/>
      <c r="N133" s="104"/>
      <c r="O133" s="104"/>
      <c r="P133" s="58"/>
    </row>
    <row r="134" spans="2:16" s="202" customFormat="1">
      <c r="B134" s="204"/>
      <c r="C134" s="204"/>
    </row>
    <row r="135" spans="2:16" s="202" customFormat="1"/>
    <row r="136" spans="2:16" s="202" customFormat="1">
      <c r="B136" s="206"/>
    </row>
    <row r="137" spans="2:16" s="202" customFormat="1">
      <c r="B137" s="205"/>
    </row>
    <row r="138" spans="2:16" s="202" customFormat="1"/>
    <row r="139" spans="2:16" s="202" customFormat="1">
      <c r="B139" s="204"/>
      <c r="I139" s="203"/>
    </row>
    <row r="140" spans="2:16" s="202" customFormat="1">
      <c r="I140" s="203"/>
    </row>
    <row r="141" spans="2:16" s="202" customFormat="1">
      <c r="I141" s="203"/>
    </row>
    <row r="142" spans="2:16">
      <c r="B142" s="39"/>
    </row>
    <row r="145" spans="2:3">
      <c r="B145" s="39"/>
      <c r="C145" s="39"/>
    </row>
  </sheetData>
  <mergeCells count="5">
    <mergeCell ref="C42:D42"/>
    <mergeCell ref="C51:D51"/>
    <mergeCell ref="C90:D90"/>
    <mergeCell ref="C94:D94"/>
    <mergeCell ref="C98:D98"/>
  </mergeCells>
  <conditionalFormatting sqref="F71:J74 G79:J79">
    <cfRule type="expression" dxfId="462" priority="2">
      <formula>$F$67="Zaaien"</formula>
    </cfRule>
  </conditionalFormatting>
  <conditionalFormatting sqref="F78:J78">
    <cfRule type="expression" dxfId="461" priority="4">
      <formula>$F$67="Zaaien"</formula>
    </cfRule>
  </conditionalFormatting>
  <conditionalFormatting sqref="F75:J77">
    <cfRule type="expression" dxfId="460" priority="3">
      <formula>$F$67="Planten"</formula>
    </cfRule>
  </conditionalFormatting>
  <conditionalFormatting sqref="F79">
    <cfRule type="expression" dxfId="459" priority="1">
      <formula>$F$67="Planten"</formula>
    </cfRule>
  </conditionalFormatting>
  <conditionalFormatting sqref="L93 F133:J133 L133:P133">
    <cfRule type="expression" dxfId="458" priority="5">
      <formula>$M$89="Nee"</formula>
    </cfRule>
  </conditionalFormatting>
  <dataValidations count="1">
    <dataValidation type="list" allowBlank="1" showInputMessage="1" showErrorMessage="1" sqref="M94" xr:uid="{C01E8292-2907-6F41-B634-AB05D220AF38}">
      <formula1>$B$91:$B$92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CB46CE8F-E870-B64A-BC60-9BF823619129}">
          <x14:formula1>
            <xm:f>'DATA - Variabelen &amp; waarden'!$B$376:$B$380</xm:f>
          </x14:formula1>
          <xm:sqref>F128</xm:sqref>
        </x14:dataValidation>
        <x14:dataValidation type="list" allowBlank="1" showInputMessage="1" showErrorMessage="1" xr:uid="{DD9C89E0-0E72-EB47-8236-8F481C411052}">
          <x14:formula1>
            <xm:f>'DATA - Variabelen &amp; waarden'!$B$364:$B$368</xm:f>
          </x14:formula1>
          <xm:sqref>F126</xm:sqref>
        </x14:dataValidation>
        <x14:dataValidation type="list" allowBlank="1" showInputMessage="1" showErrorMessage="1" xr:uid="{50E37B99-A695-6148-9827-4CA5D5BE9C1C}">
          <x14:formula1>
            <xm:f>'DATA - Variabelen &amp; waarden'!$D$323:$G$323</xm:f>
          </x14:formula1>
          <xm:sqref>G119 G122</xm:sqref>
        </x14:dataValidation>
        <x14:dataValidation type="list" allowBlank="1" showInputMessage="1" showErrorMessage="1" xr:uid="{EBF5111D-A2D3-004D-894A-06F9D31A31F5}">
          <x14:formula1>
            <xm:f>'DATA - Variabelen &amp; waarden'!$D$298:$G$298</xm:f>
          </x14:formula1>
          <xm:sqref>G102 G105</xm:sqref>
        </x14:dataValidation>
        <x14:dataValidation type="list" allowBlank="1" showInputMessage="1" showErrorMessage="1" xr:uid="{362850BA-8E25-484D-B4F8-7D0B672D04EE}">
          <x14:formula1>
            <xm:f>'DATA - Variabelen &amp; waarden'!$D$414:$G$414</xm:f>
          </x14:formula1>
          <xm:sqref>M103</xm:sqref>
        </x14:dataValidation>
        <x14:dataValidation type="list" allowBlank="1" showInputMessage="1" showErrorMessage="1" xr:uid="{5667974C-498A-184D-8986-9E12DD0A6491}">
          <x14:formula1>
            <xm:f>'DATA - Variabelen &amp; waarden'!$B$341:$B$346</xm:f>
          </x14:formula1>
          <xm:sqref>F109</xm:sqref>
        </x14:dataValidation>
        <x14:dataValidation type="list" allowBlank="1" showInputMessage="1" showErrorMessage="1" xr:uid="{DEB61596-78E4-0041-B037-D623741C372C}">
          <x14:formula1>
            <xm:f>'DATA - Variabelen &amp; waarden'!$B$393:$B$394</xm:f>
          </x14:formula1>
          <xm:sqref>M89</xm:sqref>
        </x14:dataValidation>
        <x14:dataValidation type="list" allowBlank="1" showInputMessage="1" showErrorMessage="1" xr:uid="{8FFEA935-1DC8-2A4F-8BC1-E6EA5C2B4F5E}">
          <x14:formula1>
            <xm:f>'DATA - Variabelen &amp; waarden'!$D$382:$G$382</xm:f>
          </x14:formula1>
          <xm:sqref>M100</xm:sqref>
        </x14:dataValidation>
        <x14:dataValidation type="list" allowBlank="1" showInputMessage="1" showErrorMessage="1" xr:uid="{FFCACC64-14C9-1442-BCE9-856B11812036}">
          <x14:formula1>
            <xm:f>'DATA - Variabelen &amp; waarden'!$D$370:$G$370</xm:f>
          </x14:formula1>
          <xm:sqref>G130</xm:sqref>
        </x14:dataValidation>
        <x14:dataValidation type="list" allowBlank="1" showInputMessage="1" showErrorMessage="1" xr:uid="{DE0BD082-9738-9F43-BCDE-130E78F7401E}">
          <x14:formula1>
            <xm:f>'DATA - Variabelen &amp; waarden'!$B$371:$B$373</xm:f>
          </x14:formula1>
          <xm:sqref>F130</xm:sqref>
        </x14:dataValidation>
        <x14:dataValidation type="list" allowBlank="1" showInputMessage="1" showErrorMessage="1" xr:uid="{26A932E6-390B-8345-92BA-40BA1A8C01C0}">
          <x14:formula1>
            <xm:f>'DATA - Variabelen &amp; waarden'!$D$357:$G$357</xm:f>
          </x14:formula1>
          <xm:sqref>G113</xm:sqref>
        </x14:dataValidation>
        <x14:dataValidation type="list" allowBlank="1" showInputMessage="1" showErrorMessage="1" xr:uid="{0ECC5E8D-0949-4C42-9745-4580CEE7E4AD}">
          <x14:formula1>
            <xm:f>'DATA - Variabelen &amp; waarden'!$B$358:$B$361</xm:f>
          </x14:formula1>
          <xm:sqref>F113</xm:sqref>
        </x14:dataValidation>
        <x14:dataValidation type="list" allowBlank="1" showInputMessage="1" showErrorMessage="1" xr:uid="{4AA31FF6-14A3-5C44-BCB2-1E664411B5D7}">
          <x14:formula1>
            <xm:f>'DATA - Variabelen &amp; waarden'!$B$349:$B$355</xm:f>
          </x14:formula1>
          <xm:sqref>F111</xm:sqref>
        </x14:dataValidation>
        <x14:dataValidation type="list" allowBlank="1" showInputMessage="1" showErrorMessage="1" xr:uid="{82A5242B-9BCA-0A45-AE30-0B956A22C226}">
          <x14:formula1>
            <xm:f>'DATA - Variabelen &amp; waarden'!$D$348:$G$348</xm:f>
          </x14:formula1>
          <xm:sqref>G111</xm:sqref>
        </x14:dataValidation>
        <x14:dataValidation type="list" allowBlank="1" showInputMessage="1" showErrorMessage="1" xr:uid="{C607460D-F039-8E4A-8B1F-5D9EC77614A2}">
          <x14:formula1>
            <xm:f>'DATA - Variabelen &amp; waarden'!$D$340:$G$340</xm:f>
          </x14:formula1>
          <xm:sqref>G109</xm:sqref>
        </x14:dataValidation>
        <x14:dataValidation type="list" allowBlank="1" showInputMessage="1" showErrorMessage="1" xr:uid="{4D758654-B26E-5C49-B0BA-AF507F46FD43}">
          <x14:formula1>
            <xm:f>'DATA - Variabelen &amp; waarden'!$D$22:$G$22</xm:f>
          </x14:formula1>
          <xm:sqref>G46:G47 G49:G50 G58:G62 G52:G53 G55:G56</xm:sqref>
        </x14:dataValidation>
        <x14:dataValidation type="list" allowBlank="1" showInputMessage="1" showErrorMessage="1" xr:uid="{A0858527-57CC-4D47-BFE1-52E93020FF85}">
          <x14:formula1>
            <xm:f>'DATA - Variabelen &amp; waarden'!$D$45:$G$45</xm:f>
          </x14:formula1>
          <xm:sqref>G69:G73 G75 G79 G77</xm:sqref>
        </x14:dataValidation>
        <x14:dataValidation type="list" allowBlank="1" showInputMessage="1" showErrorMessage="1" xr:uid="{C8967382-D50B-1945-9D73-CF9A4B906470}">
          <x14:formula1>
            <xm:f>'DATA - Variabelen &amp; waarden'!$D$56:$G$56</xm:f>
          </x14:formula1>
          <xm:sqref>M51:M54 M56:M57 M43:M46 M48:M49</xm:sqref>
        </x14:dataValidation>
        <x14:dataValidation type="list" allowBlank="1" showInputMessage="1" showErrorMessage="1" xr:uid="{B589BE17-7ECB-184B-8D0C-795DDA9FA4C6}">
          <x14:formula1>
            <xm:f>'DATA - Variabelen &amp; waarden'!$D$74:$G$74</xm:f>
          </x14:formula1>
          <xm:sqref>M61:M63</xm:sqref>
        </x14:dataValidation>
        <x14:dataValidation type="list" allowBlank="1" showInputMessage="1" showErrorMessage="1" xr:uid="{2E82E6AC-C837-2A45-B813-EA99CB0C4AB0}">
          <x14:formula1>
            <xm:f>'DATA - Variabelen &amp; waarden'!$D$79:$G$79</xm:f>
          </x14:formula1>
          <xm:sqref>M66:M67</xm:sqref>
        </x14:dataValidation>
        <x14:dataValidation type="list" allowBlank="1" showInputMessage="1" showErrorMessage="1" xr:uid="{9882F628-3142-BC40-B917-E5D6E8CD7773}">
          <x14:formula1>
            <xm:f>'DATA - Variabelen &amp; waarden'!$D$83:$G$83</xm:f>
          </x14:formula1>
          <xm:sqref>M70:M76</xm:sqref>
        </x14:dataValidation>
        <x14:dataValidation type="list" allowBlank="1" showInputMessage="1" showErrorMessage="1" xr:uid="{3B05FF32-C088-3344-916E-C7A63A38FEC9}">
          <x14:formula1>
            <xm:f>'DATA - Variabelen &amp; waarden'!$D$92:$G$92</xm:f>
          </x14:formula1>
          <xm:sqref>M79:M80 M82</xm:sqref>
        </x14:dataValidation>
        <x14:dataValidation type="list" allowBlank="1" showInputMessage="1" showErrorMessage="1" xr:uid="{7B4D46EB-694B-3D46-AC4B-05358AAE774B}">
          <x14:formula1>
            <xm:f>'DATA - Variabelen &amp; waarden'!$B$288:$B$296</xm:f>
          </x14:formula1>
          <xm:sqref>F101</xm:sqref>
        </x14:dataValidation>
        <x14:dataValidation type="list" allowBlank="1" showInputMessage="1" showErrorMessage="1" xr:uid="{4D5511F4-4B9A-954F-A09F-AC5C14F16967}">
          <x14:formula1>
            <xm:f>'DATA - Variabelen &amp; waarden'!$D$187:$G$187</xm:f>
          </x14:formula1>
          <xm:sqref>G90:G91 M91:M92 G94:G95</xm:sqref>
        </x14:dataValidation>
        <x14:dataValidation type="list" allowBlank="1" showInputMessage="1" showErrorMessage="1" xr:uid="{C66C3D7A-7B31-D143-A6F8-435CB93BAF4E}">
          <x14:formula1>
            <xm:f>'DATA - Variabelen &amp; waarden'!$D$287:$G$287</xm:f>
          </x14:formula1>
          <xm:sqref>G101</xm:sqref>
        </x14:dataValidation>
        <x14:dataValidation type="list" allowBlank="1" showInputMessage="1" showErrorMessage="1" xr:uid="{735DAA88-49B6-7347-B204-51F932874A04}">
          <x14:formula1>
            <xm:f>'DATA - Variabelen &amp; waarden'!$D$309:$G$309</xm:f>
          </x14:formula1>
          <xm:sqref>G104</xm:sqref>
        </x14:dataValidation>
        <x14:dataValidation type="list" allowBlank="1" showInputMessage="1" showErrorMessage="1" xr:uid="{0AA734E8-A7C6-FF45-9F15-ADB8A44C2EB0}">
          <x14:formula1>
            <xm:f>'DATA - Variabelen &amp; waarden'!$B$316:$B$321</xm:f>
          </x14:formula1>
          <xm:sqref>F118</xm:sqref>
        </x14:dataValidation>
        <x14:dataValidation type="list" allowBlank="1" showInputMessage="1" showErrorMessage="1" xr:uid="{6FE82815-4B2B-D94B-9E4A-097ADA62A4E8}">
          <x14:formula1>
            <xm:f>'DATA - Variabelen &amp; waarden'!$D$315:$G$315</xm:f>
          </x14:formula1>
          <xm:sqref>G118</xm:sqref>
        </x14:dataValidation>
        <x14:dataValidation type="list" allowBlank="1" showInputMessage="1" showErrorMessage="1" xr:uid="{39B27A80-7AC0-694F-874A-36C36508742E}">
          <x14:formula1>
            <xm:f>'DATA - Variabelen &amp; waarden'!$D$331:$G$331</xm:f>
          </x14:formula1>
          <xm:sqref>G121</xm:sqref>
        </x14:dataValidation>
        <x14:dataValidation type="list" allowBlank="1" showInputMessage="1" showErrorMessage="1" xr:uid="{7B4A3C4E-74C0-7D42-BDA9-61ECD7570D31}">
          <x14:formula1>
            <xm:f>'DATA - Variabelen &amp; waarden'!$D$363:$G$363</xm:f>
          </x14:formula1>
          <xm:sqref>G126</xm:sqref>
        </x14:dataValidation>
        <x14:dataValidation type="list" allowBlank="1" showInputMessage="1" showErrorMessage="1" xr:uid="{944704AC-E974-D349-B10E-867F92CEFD0B}">
          <x14:formula1>
            <xm:f>'DATA - Variabelen &amp; waarden'!$D$375:$G$375</xm:f>
          </x14:formula1>
          <xm:sqref>G128</xm:sqref>
        </x14:dataValidation>
        <x14:dataValidation type="list" allowBlank="1" showInputMessage="1" showErrorMessage="1" xr:uid="{8DA87851-B819-B845-85F7-FC4B3D1B437A}">
          <x14:formula1>
            <xm:f>'DATA - Variabelen &amp; waarden'!$D$405:$G$405</xm:f>
          </x14:formula1>
          <xm:sqref>M116</xm:sqref>
        </x14:dataValidation>
        <x14:dataValidation type="list" allowBlank="1" showInputMessage="1" showErrorMessage="1" xr:uid="{D31D3FC7-7AA6-0540-87D1-0AF23192BD85}">
          <x14:formula1>
            <xm:f>'DATA - Variabelen &amp; waarden'!$D$396:$G$396</xm:f>
          </x14:formula1>
          <xm:sqref>M115</xm:sqref>
        </x14:dataValidation>
        <x14:dataValidation type="list" allowBlank="1" showInputMessage="1" showErrorMessage="1" xr:uid="{3CDA1484-E51E-704A-9B9C-7009734BA91E}">
          <x14:formula1>
            <xm:f>'DATA - Variabelen &amp; waarden'!$B$397:$B$403</xm:f>
          </x14:formula1>
          <xm:sqref>L115</xm:sqref>
        </x14:dataValidation>
        <x14:dataValidation type="list" allowBlank="1" showInputMessage="1" showErrorMessage="1" xr:uid="{BBABC19B-ECAA-F046-9E5B-E879361A1622}">
          <x14:formula1>
            <xm:f>'DATA - Variabelen &amp; waarden'!$D$387:$G$387</xm:f>
          </x14:formula1>
          <xm:sqref>M111 M107</xm:sqref>
        </x14:dataValidation>
        <x14:dataValidation type="list" allowBlank="1" showInputMessage="1" showErrorMessage="1" xr:uid="{4FF0BDAE-7F38-2A4A-8A3C-AFD0085680BD}">
          <x14:formula1>
            <xm:f>'DATA - Variabelen &amp; waarden'!$B$388:$B$390</xm:f>
          </x14:formula1>
          <xm:sqref>L111 L107</xm:sqref>
        </x14:dataValidation>
        <x14:dataValidation type="list" allowBlank="1" showInputMessage="1" showErrorMessage="1" xr:uid="{6029344E-80AC-C344-A544-87C9B658B00D}">
          <x14:formula1>
            <xm:f>'DATA - Variabelen &amp; waarden'!$B$42:$B$43</xm:f>
          </x14:formula1>
          <xm:sqref>F67</xm:sqref>
        </x14:dataValidation>
        <x14:dataValidation type="list" allowBlank="1" showInputMessage="1" showErrorMessage="1" xr:uid="{94DDCF91-9B2A-3E44-8BE4-4DFD9E861E19}">
          <x14:formula1>
            <xm:f>'DATA - Variabelen &amp; waarden'!$B$106:$B$112</xm:f>
          </x14:formula1>
          <xm:sqref>F65</xm:sqref>
        </x14:dataValidation>
        <x14:dataValidation type="list" allowBlank="1" showInputMessage="1" showErrorMessage="1" xr:uid="{3A62540E-6E68-134B-BDE9-768C97D12447}">
          <x14:formula1>
            <xm:f>'DATA - Variabelen &amp; waarden'!$B$7:$B$20</xm:f>
          </x14:formula1>
          <xm:sqref>F43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BE-CEE2-C940-8F63-DC677C71C0C8}">
  <sheetPr>
    <tabColor theme="9" tint="0.39997558519241921"/>
  </sheetPr>
  <dimension ref="B1:Z145"/>
  <sheetViews>
    <sheetView showGridLines="0" zoomScaleNormal="100" workbookViewId="0">
      <pane ySplit="2" topLeftCell="A3" activePane="bottomLeft" state="frozen"/>
      <selection pane="bottomLeft" activeCell="G94" sqref="G94"/>
    </sheetView>
  </sheetViews>
  <sheetFormatPr defaultColWidth="11" defaultRowHeight="15.5"/>
  <cols>
    <col min="1" max="1" width="3" customWidth="1"/>
    <col min="2" max="2" width="35.9140625" customWidth="1"/>
    <col min="3" max="3" width="13.4140625" customWidth="1"/>
    <col min="4" max="4" width="10.9140625" customWidth="1"/>
    <col min="5" max="5" width="3" customWidth="1"/>
    <col min="6" max="6" width="34.9140625" customWidth="1"/>
    <col min="7" max="7" width="13.4140625" customWidth="1"/>
    <col min="8" max="8" width="10.9140625" customWidth="1"/>
    <col min="9" max="9" width="10.9140625" style="3" customWidth="1"/>
    <col min="10" max="10" width="10.9140625" customWidth="1"/>
    <col min="11" max="11" width="3" customWidth="1"/>
    <col min="12" max="12" width="32.9140625" customWidth="1"/>
    <col min="13" max="13" width="13.4140625" customWidth="1"/>
    <col min="14" max="14" width="12.58203125" customWidth="1"/>
    <col min="15" max="15" width="13.4140625" customWidth="1"/>
    <col min="16" max="16" width="10.9140625" customWidth="1"/>
    <col min="17" max="17" width="3" customWidth="1"/>
    <col min="18" max="18" width="12.58203125" customWidth="1"/>
    <col min="19" max="19" width="13.4140625" customWidth="1"/>
    <col min="20" max="20" width="10.9140625" customWidth="1"/>
    <col min="21" max="21" width="3" customWidth="1"/>
    <col min="22" max="22" width="32.9140625" customWidth="1"/>
    <col min="23" max="23" width="13.4140625" customWidth="1"/>
    <col min="24" max="24" width="12.58203125" customWidth="1"/>
    <col min="25" max="25" width="13.4140625" customWidth="1"/>
    <col min="27" max="27" width="3" customWidth="1"/>
    <col min="28" max="28" width="32.9140625" customWidth="1"/>
    <col min="29" max="29" width="13.4140625" customWidth="1"/>
    <col min="30" max="30" width="12.58203125" customWidth="1"/>
    <col min="31" max="31" width="13.4140625" customWidth="1"/>
    <col min="32" max="32" width="10.9140625" customWidth="1"/>
    <col min="33" max="33" width="3" customWidth="1"/>
    <col min="34" max="34" width="13.4140625" customWidth="1"/>
    <col min="39" max="39" width="10.9140625" customWidth="1"/>
    <col min="40" max="40" width="3" customWidth="1"/>
    <col min="41" max="42" width="28.9140625" customWidth="1"/>
    <col min="43" max="43" width="13.4140625" customWidth="1"/>
  </cols>
  <sheetData>
    <row r="1" spans="2:26">
      <c r="D1" s="35"/>
      <c r="I1"/>
    </row>
    <row r="2" spans="2:26" ht="18.5">
      <c r="B2" s="66" t="s">
        <v>85</v>
      </c>
      <c r="C2" s="69"/>
      <c r="D2" s="70"/>
      <c r="E2" s="69"/>
      <c r="F2" s="71"/>
      <c r="G2" s="69"/>
      <c r="H2" s="69"/>
      <c r="I2" s="71"/>
      <c r="J2" s="69"/>
      <c r="K2" s="69"/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2:26">
      <c r="D3" s="72"/>
      <c r="F3" s="4"/>
      <c r="I3" s="4"/>
      <c r="L3" s="4"/>
    </row>
    <row r="4" spans="2:26">
      <c r="B4" s="61" t="s">
        <v>86</v>
      </c>
      <c r="C4" s="218"/>
      <c r="D4" s="60"/>
      <c r="F4" s="4"/>
      <c r="I4" s="4"/>
      <c r="L4" s="4"/>
    </row>
    <row r="5" spans="2:26">
      <c r="B5" s="81"/>
      <c r="C5" s="226"/>
      <c r="D5" s="56"/>
      <c r="F5" s="4"/>
      <c r="I5" s="4"/>
      <c r="L5" s="4"/>
    </row>
    <row r="6" spans="2:26">
      <c r="B6" s="230" t="s">
        <v>87</v>
      </c>
      <c r="C6" s="228">
        <f>SUM(C7,C10)</f>
        <v>1270.9100000000001</v>
      </c>
      <c r="D6" s="56" t="s">
        <v>88</v>
      </c>
      <c r="F6" s="4"/>
      <c r="I6" s="4"/>
      <c r="L6" s="4"/>
    </row>
    <row r="7" spans="2:26">
      <c r="B7" s="76" t="s">
        <v>89</v>
      </c>
      <c r="C7" s="46">
        <f>SUM(C8:C9)</f>
        <v>1008</v>
      </c>
      <c r="D7" s="56"/>
      <c r="F7" s="4"/>
      <c r="I7" s="4"/>
      <c r="L7" s="4"/>
    </row>
    <row r="8" spans="2:26">
      <c r="B8" s="231" t="str">
        <f>B95</f>
        <v>Hennepstro</v>
      </c>
      <c r="C8" s="42">
        <f>C95</f>
        <v>1008</v>
      </c>
      <c r="D8" s="56"/>
      <c r="F8" s="4"/>
      <c r="I8" s="4"/>
      <c r="L8" s="4"/>
    </row>
    <row r="9" spans="2:26">
      <c r="B9" s="231" t="str">
        <f>B96</f>
        <v>Aren</v>
      </c>
      <c r="C9" s="42">
        <f>C96</f>
        <v>0</v>
      </c>
      <c r="D9" s="56"/>
      <c r="F9" s="4"/>
      <c r="I9" s="4"/>
      <c r="L9" s="4"/>
    </row>
    <row r="10" spans="2:26">
      <c r="B10" s="143" t="s">
        <v>90</v>
      </c>
      <c r="C10" s="46">
        <f>SUM(C11:C12)</f>
        <v>262.91000000000003</v>
      </c>
      <c r="D10" s="56" t="s">
        <v>88</v>
      </c>
      <c r="F10" s="4"/>
      <c r="I10" s="4"/>
      <c r="L10" s="4"/>
    </row>
    <row r="11" spans="2:26">
      <c r="B11" s="231" t="s">
        <v>91</v>
      </c>
      <c r="C11" s="227">
        <v>262.91000000000003</v>
      </c>
      <c r="D11" s="56"/>
      <c r="F11" s="4"/>
      <c r="I11" s="4"/>
      <c r="L11" s="4"/>
    </row>
    <row r="12" spans="2:26">
      <c r="B12" s="231" t="s">
        <v>92</v>
      </c>
      <c r="C12" s="126"/>
      <c r="D12" s="56"/>
      <c r="F12" s="4"/>
      <c r="I12" s="4"/>
      <c r="L12" s="4"/>
    </row>
    <row r="13" spans="2:26">
      <c r="B13" s="81"/>
      <c r="C13" s="226"/>
      <c r="D13" s="56"/>
      <c r="F13" s="4"/>
      <c r="I13" s="4"/>
      <c r="L13" s="4"/>
    </row>
    <row r="14" spans="2:26">
      <c r="B14" s="230" t="s">
        <v>81</v>
      </c>
      <c r="C14" s="228">
        <f>SUM(C15:C20)</f>
        <v>1179.5875000000001</v>
      </c>
      <c r="D14" s="56" t="s">
        <v>88</v>
      </c>
      <c r="F14" s="4"/>
      <c r="I14" s="4"/>
      <c r="L14" s="4"/>
    </row>
    <row r="15" spans="2:26">
      <c r="B15" s="231" t="str">
        <f t="shared" ref="B15:C19" si="0">B43</f>
        <v>Grondgebruik</v>
      </c>
      <c r="C15" s="43">
        <f t="shared" si="0"/>
        <v>486</v>
      </c>
      <c r="D15" s="111"/>
      <c r="F15" s="4"/>
      <c r="I15" s="4"/>
      <c r="L15" s="4"/>
    </row>
    <row r="16" spans="2:26">
      <c r="B16" s="231" t="str">
        <f t="shared" si="0"/>
        <v>Gewasverzorging</v>
      </c>
      <c r="C16" s="43">
        <f t="shared" si="0"/>
        <v>155</v>
      </c>
      <c r="D16" s="56"/>
      <c r="F16" s="4"/>
      <c r="I16" s="4"/>
      <c r="L16" s="4"/>
    </row>
    <row r="17" spans="2:12">
      <c r="B17" s="231" t="str">
        <f t="shared" si="0"/>
        <v>Energieverbruik en water</v>
      </c>
      <c r="C17" s="43">
        <f t="shared" si="0"/>
        <v>0</v>
      </c>
      <c r="D17" s="56"/>
      <c r="F17" s="4"/>
      <c r="I17" s="4"/>
      <c r="L17" s="4"/>
    </row>
    <row r="18" spans="2:12">
      <c r="B18" s="231" t="str">
        <f t="shared" si="0"/>
        <v>Belastingen en verzekeringen</v>
      </c>
      <c r="C18" s="43">
        <f t="shared" si="0"/>
        <v>175</v>
      </c>
      <c r="D18" s="56"/>
      <c r="F18" s="4"/>
      <c r="I18" s="4"/>
      <c r="L18" s="4"/>
    </row>
    <row r="19" spans="2:12">
      <c r="B19" s="231" t="str">
        <f t="shared" si="0"/>
        <v>Onderhoud</v>
      </c>
      <c r="C19" s="43">
        <f t="shared" si="0"/>
        <v>0</v>
      </c>
      <c r="D19" s="56"/>
      <c r="F19" s="4"/>
      <c r="I19" s="4"/>
      <c r="L19" s="4"/>
    </row>
    <row r="20" spans="2:12">
      <c r="B20" s="231" t="s">
        <v>93</v>
      </c>
      <c r="C20" s="43">
        <f>C104</f>
        <v>363.58749999999998</v>
      </c>
      <c r="D20" s="56"/>
      <c r="F20" s="4"/>
      <c r="I20" s="4"/>
      <c r="L20" s="4"/>
    </row>
    <row r="21" spans="2:12">
      <c r="B21" s="55"/>
      <c r="C21" s="103"/>
      <c r="D21" s="56"/>
      <c r="F21" s="4"/>
      <c r="I21" s="4"/>
      <c r="L21" s="4"/>
    </row>
    <row r="22" spans="2:12">
      <c r="B22" s="230" t="s">
        <v>82</v>
      </c>
      <c r="C22" s="228">
        <f>C6-C14</f>
        <v>91.322499999999991</v>
      </c>
      <c r="D22" s="56" t="s">
        <v>88</v>
      </c>
      <c r="F22" s="4"/>
      <c r="I22" s="4"/>
      <c r="L22" s="4"/>
    </row>
    <row r="23" spans="2:12">
      <c r="B23" s="55"/>
      <c r="C23" s="103"/>
      <c r="D23" s="56"/>
      <c r="F23" s="4"/>
      <c r="I23" s="4"/>
      <c r="L23" s="4"/>
    </row>
    <row r="24" spans="2:12">
      <c r="B24" s="230" t="s">
        <v>83</v>
      </c>
      <c r="C24" s="228">
        <f>SUM(C25:C31)</f>
        <v>678.56249999999989</v>
      </c>
      <c r="D24" s="56" t="s">
        <v>88</v>
      </c>
      <c r="F24" s="4"/>
      <c r="I24" s="4"/>
      <c r="L24" s="4"/>
    </row>
    <row r="25" spans="2:12">
      <c r="B25" s="231" t="str">
        <f>B48</f>
        <v>Afschrijving &amp; aflossing teeltinvesteringen</v>
      </c>
      <c r="C25" s="42">
        <f>C48</f>
        <v>678.56249999999989</v>
      </c>
      <c r="D25" s="56"/>
      <c r="F25" s="4"/>
      <c r="I25" s="4"/>
      <c r="L25" s="4"/>
    </row>
    <row r="26" spans="2:12">
      <c r="B26" s="231" t="s">
        <v>94</v>
      </c>
      <c r="C26" s="126"/>
      <c r="D26" s="56"/>
      <c r="F26" s="4"/>
      <c r="I26" s="4"/>
      <c r="L26" s="4"/>
    </row>
    <row r="27" spans="2:12">
      <c r="B27" s="231" t="s">
        <v>95</v>
      </c>
      <c r="C27" s="126"/>
      <c r="D27" s="56"/>
      <c r="F27" s="4"/>
      <c r="I27" s="4"/>
      <c r="L27" s="4"/>
    </row>
    <row r="28" spans="2:12">
      <c r="B28" s="231" t="s">
        <v>96</v>
      </c>
      <c r="C28" s="126"/>
      <c r="D28" s="56"/>
      <c r="F28" s="4"/>
      <c r="I28" s="4"/>
      <c r="L28" s="4"/>
    </row>
    <row r="29" spans="2:12">
      <c r="B29" s="231" t="s">
        <v>97</v>
      </c>
      <c r="C29" s="126"/>
      <c r="D29" s="56"/>
      <c r="F29" s="4"/>
      <c r="I29" s="4"/>
      <c r="L29" s="4"/>
    </row>
    <row r="30" spans="2:12">
      <c r="B30" s="231" t="s">
        <v>98</v>
      </c>
      <c r="C30" s="126"/>
      <c r="D30" s="56"/>
      <c r="F30" s="4"/>
      <c r="I30" s="4"/>
      <c r="L30" s="4"/>
    </row>
    <row r="31" spans="2:12">
      <c r="B31" s="231" t="s">
        <v>99</v>
      </c>
      <c r="C31" s="126"/>
      <c r="D31" s="56"/>
      <c r="F31" s="4"/>
      <c r="I31" s="4"/>
      <c r="L31" s="4"/>
    </row>
    <row r="32" spans="2:12">
      <c r="B32" s="55"/>
      <c r="C32" s="43"/>
      <c r="D32" s="56"/>
      <c r="F32" s="4"/>
      <c r="I32" s="4"/>
      <c r="L32" s="4"/>
    </row>
    <row r="33" spans="2:26">
      <c r="B33" s="230" t="s">
        <v>100</v>
      </c>
      <c r="C33" s="228">
        <f>C22-C24</f>
        <v>-587.2399999999999</v>
      </c>
      <c r="D33" s="56" t="s">
        <v>101</v>
      </c>
      <c r="F33" s="4"/>
      <c r="I33" s="4"/>
      <c r="L33" s="4"/>
    </row>
    <row r="34" spans="2:26">
      <c r="B34" s="57"/>
      <c r="C34" s="229"/>
      <c r="D34" s="58"/>
      <c r="F34" s="4"/>
      <c r="I34" s="4"/>
      <c r="L34" s="4"/>
    </row>
    <row r="35" spans="2:26">
      <c r="D35" s="72"/>
      <c r="F35" s="4"/>
      <c r="I35" s="4"/>
      <c r="L35" s="4"/>
    </row>
    <row r="36" spans="2:26" ht="18.5">
      <c r="B36" s="154" t="s">
        <v>102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2:26">
      <c r="I37" s="106"/>
    </row>
    <row r="38" spans="2:26" s="75" customFormat="1" ht="17">
      <c r="B38" s="74" t="s">
        <v>103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40" spans="2:26">
      <c r="B40" s="61" t="s">
        <v>104</v>
      </c>
      <c r="C40" s="218" t="str">
        <f>F65</f>
        <v>Hennep</v>
      </c>
      <c r="D40" s="60"/>
      <c r="F40" s="61" t="s">
        <v>105</v>
      </c>
      <c r="G40" s="105"/>
      <c r="H40" s="105"/>
      <c r="I40" s="110"/>
      <c r="J40" s="60"/>
      <c r="L40" s="61" t="s">
        <v>106</v>
      </c>
      <c r="M40" s="105"/>
      <c r="N40" s="105"/>
      <c r="O40" s="105"/>
      <c r="P40" s="60"/>
    </row>
    <row r="41" spans="2:26">
      <c r="B41" s="55"/>
      <c r="C41" s="103"/>
      <c r="D41" s="56"/>
      <c r="F41" s="76" t="s">
        <v>107</v>
      </c>
      <c r="G41" s="103"/>
      <c r="H41" s="103"/>
      <c r="I41" s="73"/>
      <c r="J41" s="56"/>
      <c r="L41" s="81"/>
      <c r="M41" s="103"/>
      <c r="N41" s="103"/>
      <c r="O41" s="103"/>
      <c r="P41" s="56"/>
    </row>
    <row r="42" spans="2:26" ht="16" thickBot="1">
      <c r="B42" s="76" t="s">
        <v>108</v>
      </c>
      <c r="C42" s="340" t="s">
        <v>109</v>
      </c>
      <c r="D42" s="341"/>
      <c r="F42" s="149" t="s">
        <v>110</v>
      </c>
      <c r="G42" s="103"/>
      <c r="H42" s="64" t="s">
        <v>111</v>
      </c>
      <c r="I42" s="43"/>
      <c r="J42" s="56"/>
      <c r="L42" s="163" t="str" cm="1">
        <f t="array" ref="L42:L58">CultCost01[[#All],[Gewasverzorging]]</f>
        <v>Gewasverzorging</v>
      </c>
      <c r="M42" s="63" t="s">
        <v>112</v>
      </c>
      <c r="N42" s="64" t="s">
        <v>111</v>
      </c>
      <c r="O42" s="46">
        <f>SUM(O43:O47,O50,O55,O58)</f>
        <v>155</v>
      </c>
      <c r="P42" s="111" t="s">
        <v>88</v>
      </c>
    </row>
    <row r="43" spans="2:26" ht="16.5" thickTop="1" thickBot="1">
      <c r="B43" s="55" t="str">
        <f>F41</f>
        <v>Grondgebruik</v>
      </c>
      <c r="C43" s="42">
        <f>I43</f>
        <v>486</v>
      </c>
      <c r="D43" s="56" t="s">
        <v>88</v>
      </c>
      <c r="F43" s="62" t="s">
        <v>113</v>
      </c>
      <c r="G43" s="103"/>
      <c r="H43" s="126"/>
      <c r="I43" s="41">
        <f>IF(ISBLANK(H43),_xlfn.XLOOKUP(F43,PachtPrijs[Pachtprijs - per regio],PachtPrijs[Regionorm 2020]),H43)</f>
        <v>486</v>
      </c>
      <c r="J43" s="111" t="s">
        <v>88</v>
      </c>
      <c r="L43" s="55" t="str">
        <v>Meststoffen</v>
      </c>
      <c r="M43" s="49" t="s">
        <v>126</v>
      </c>
      <c r="N43" s="45"/>
      <c r="O43" s="107" cm="1">
        <f t="array" ref="O43">IF(ISBLANK(N43),INDEX(CultCost01[[#All],[Geen]:[Waarde MIN]],_xlfn.XMATCH(Hennep!L43,CultCost01[[#All],[Gewasverzorging]]),_xlfn.XMATCH(Hennep!M43,CultCost01[[#Headers],[Geen]:[Waarde MIN]])),N43)</f>
        <v>100</v>
      </c>
      <c r="P43" s="56" t="s">
        <v>88</v>
      </c>
    </row>
    <row r="44" spans="2:26" ht="16.5" thickTop="1" thickBot="1">
      <c r="B44" s="55" t="str">
        <f>L42</f>
        <v>Gewasverzorging</v>
      </c>
      <c r="C44" s="42">
        <f>O42</f>
        <v>155</v>
      </c>
      <c r="D44" s="56" t="s">
        <v>88</v>
      </c>
      <c r="F44" s="55"/>
      <c r="G44" s="103"/>
      <c r="H44" s="103"/>
      <c r="I44" s="43"/>
      <c r="J44" s="56"/>
      <c r="L44" s="55" t="str">
        <v>Gewasbeschermingsmiddelen</v>
      </c>
      <c r="M44" s="49" t="s">
        <v>114</v>
      </c>
      <c r="N44" s="45"/>
      <c r="O44" s="107" cm="1">
        <f t="array" ref="O44">IF(ISBLANK(N44),INDEX(CultCost01[[#All],[Geen]:[Waarde MIN]],_xlfn.XMATCH(Hennep!L44,CultCost01[[#All],[Gewasverzorging]]),_xlfn.XMATCH(Hennep!M44,CultCost01[[#Headers],[Geen]:[Waarde MIN]])),N44)</f>
        <v>0</v>
      </c>
      <c r="P44" s="56" t="s">
        <v>88</v>
      </c>
    </row>
    <row r="45" spans="2:26" ht="16.5" thickTop="1" thickBot="1">
      <c r="B45" s="55" t="str">
        <f>L60</f>
        <v>Energieverbruik en water</v>
      </c>
      <c r="C45" s="42">
        <f>O60</f>
        <v>0</v>
      </c>
      <c r="D45" s="56" t="s">
        <v>88</v>
      </c>
      <c r="F45" s="76" t="s">
        <v>115</v>
      </c>
      <c r="G45" s="63" t="s">
        <v>112</v>
      </c>
      <c r="H45" s="64" t="s">
        <v>111</v>
      </c>
      <c r="I45" s="46">
        <f>SUM(I48,I51,I54,I57,I58,I59,I60,I61,I62)</f>
        <v>0</v>
      </c>
      <c r="J45" s="111" t="s">
        <v>88</v>
      </c>
      <c r="L45" s="114" t="str">
        <v>Ongediertebestrijding - uren</v>
      </c>
      <c r="M45" s="49" t="s">
        <v>114</v>
      </c>
      <c r="N45" s="45"/>
      <c r="O45" s="169" cm="1">
        <f t="array" ref="O45">IF(ISBLANK(N45),INDEX(CultCost01[[#All],[Geen]:[Waarde MIN]],_xlfn.XMATCH(Hennep!L45,CultCost01[[#All],[Gewasverzorging]]),_xlfn.XMATCH(Hennep!M45,CultCost01[[#Headers],[Geen]:[Waarde MIN]])),N45)</f>
        <v>0</v>
      </c>
      <c r="P45" s="116" t="s">
        <v>116</v>
      </c>
    </row>
    <row r="46" spans="2:26" ht="16.5" thickTop="1" thickBot="1">
      <c r="B46" s="55" t="str">
        <f>L65</f>
        <v>Belastingen en verzekeringen</v>
      </c>
      <c r="C46" s="42">
        <f>O65</f>
        <v>175</v>
      </c>
      <c r="D46" s="56" t="s">
        <v>88</v>
      </c>
      <c r="F46" s="114" t="str" cm="1">
        <f t="array" ref="F46:F62">CultInvest01[Teelt - Investeringen perceel]</f>
        <v>Grondverzet - uren per hectare</v>
      </c>
      <c r="G46" s="49" t="s">
        <v>114</v>
      </c>
      <c r="H46" s="45"/>
      <c r="I46" s="108" cm="1">
        <f t="array" ref="I46">IF(ISBLANK(H46),INDEX(CultInvest01[[#All],[Geen]:[Waarde MIN]],_xlfn.XMATCH(Hennep!F46,CultInvest01[[#All],[Teelt - Investeringen perceel]]),_xlfn.XMATCH(Hennep!G46,CultInvest01[[#Headers],[Geen]:[Waarde MIN]])),H46)</f>
        <v>0</v>
      </c>
      <c r="J46" s="109" t="s">
        <v>116</v>
      </c>
      <c r="L46" s="114" t="str">
        <v>Ongediertebestrijding - tarief</v>
      </c>
      <c r="M46" s="49" t="s">
        <v>114</v>
      </c>
      <c r="N46" s="45"/>
      <c r="O46" s="115" cm="1">
        <f t="array" ref="O46">IF(ISBLANK(N46),INDEX(CultCost01[[#All],[Geen]:[Waarde MIN]],_xlfn.XMATCH(Hennep!L46,CultCost01[[#All],[Gewasverzorging]]),_xlfn.XMATCH(Hennep!M46,CultCost01[[#Headers],[Geen]:[Waarde MIN]])),N46)</f>
        <v>0</v>
      </c>
      <c r="P46" s="116" t="s">
        <v>117</v>
      </c>
    </row>
    <row r="47" spans="2:26" ht="16.5" thickTop="1" thickBot="1">
      <c r="B47" s="55" t="str">
        <f>L69</f>
        <v>Onderhoud</v>
      </c>
      <c r="C47" s="42">
        <f>O69</f>
        <v>0</v>
      </c>
      <c r="D47" s="56" t="s">
        <v>88</v>
      </c>
      <c r="F47" s="114" t="str">
        <v>Grondverzet - prijs per uur</v>
      </c>
      <c r="G47" s="49" t="s">
        <v>79</v>
      </c>
      <c r="H47" s="45"/>
      <c r="I47" s="108" cm="1">
        <f t="array" ref="I47">IF(ISBLANK(H47),INDEX(CultInvest01[[#All],[Geen]:[Waarde MIN]],_xlfn.XMATCH(Hennep!F47,CultInvest01[[#All],[Teelt - Investeringen perceel]]),_xlfn.XMATCH(Hennep!G47,CultInvest01[[#Headers],[Geen]:[Waarde MIN]])),H47)</f>
        <v>95</v>
      </c>
      <c r="J47" s="109" t="s">
        <v>117</v>
      </c>
      <c r="L47" s="55" t="str">
        <v>Ongediertebestrijding</v>
      </c>
      <c r="M47" s="42">
        <f>O45*O46</f>
        <v>0</v>
      </c>
      <c r="N47" s="45"/>
      <c r="O47" s="107">
        <f>IF(ISBLANK(N47),M47,N47)</f>
        <v>0</v>
      </c>
      <c r="P47" s="56" t="s">
        <v>88</v>
      </c>
    </row>
    <row r="48" spans="2:26" ht="16.5" thickTop="1" thickBot="1">
      <c r="B48" s="219" t="str">
        <f>L78</f>
        <v>Afschrijving &amp; aflossing teeltinvesteringen</v>
      </c>
      <c r="C48" s="40">
        <f>O78</f>
        <v>678.56249999999989</v>
      </c>
      <c r="D48" s="220" t="s">
        <v>88</v>
      </c>
      <c r="F48" s="55" t="str">
        <v>Grondverzet - totaal</v>
      </c>
      <c r="G48" s="42">
        <f>I46*I47</f>
        <v>0</v>
      </c>
      <c r="H48" s="45"/>
      <c r="I48" s="107">
        <f>IF(ISBLANK(H48),G48,H48)</f>
        <v>0</v>
      </c>
      <c r="J48" s="56" t="s">
        <v>88</v>
      </c>
      <c r="L48" s="114" t="str">
        <v>Dijkbeheer &amp; slootonderhoud - uren</v>
      </c>
      <c r="M48" s="49" t="s">
        <v>79</v>
      </c>
      <c r="N48" s="45"/>
      <c r="O48" s="169" cm="1">
        <f t="array" ref="O48">IF(ISBLANK(N48),INDEX(CultCost01[[#All],[Geen]:[Waarde MIN]],_xlfn.XMATCH(Hennep!L48,CultCost01[[#All],[Gewasverzorging]]),_xlfn.XMATCH(Hennep!M48,CultCost01[[#Headers],[Geen]:[Waarde MIN]])),N48)</f>
        <v>2.2000000000000002</v>
      </c>
      <c r="P48" s="116" t="s">
        <v>116</v>
      </c>
    </row>
    <row r="49" spans="2:16" ht="16.5" thickTop="1" thickBot="1">
      <c r="B49" s="76" t="s">
        <v>118</v>
      </c>
      <c r="C49" s="46">
        <f>SUM(C43:C48)</f>
        <v>1494.5625</v>
      </c>
      <c r="D49" s="111" t="s">
        <v>88</v>
      </c>
      <c r="F49" s="114" t="str">
        <v>Grondtoevoer - kuub per hectare</v>
      </c>
      <c r="G49" s="49" t="s">
        <v>114</v>
      </c>
      <c r="H49" s="45"/>
      <c r="I49" s="108" cm="1">
        <f t="array" ref="I49">IF(ISBLANK(H49),INDEX(CultInvest01[[#All],[Geen]:[Waarde MIN]],_xlfn.XMATCH(Hennep!F49,CultInvest01[[#All],[Teelt - Investeringen perceel]]),_xlfn.XMATCH(Hennep!G49,CultInvest01[[#Headers],[Geen]:[Waarde MIN]])),H49)</f>
        <v>0</v>
      </c>
      <c r="J49" s="112" t="s">
        <v>119</v>
      </c>
      <c r="L49" s="114" t="str">
        <v>Dijkbeheer &amp; slootonderhoud - tarief</v>
      </c>
      <c r="M49" s="49" t="s">
        <v>79</v>
      </c>
      <c r="N49" s="45"/>
      <c r="O49" s="115" cm="1">
        <f t="array" ref="O49">IF(ISBLANK(N49),INDEX(CultCost01[[#All],[Geen]:[Waarde MIN]],_xlfn.XMATCH(Hennep!L49,CultCost01[[#All],[Gewasverzorging]]),_xlfn.XMATCH(Hennep!M49,CultCost01[[#Headers],[Geen]:[Waarde MIN]])),N49)</f>
        <v>25</v>
      </c>
      <c r="P49" s="116" t="s">
        <v>117</v>
      </c>
    </row>
    <row r="50" spans="2:16" ht="16.5" thickTop="1" thickBot="1">
      <c r="B50" s="55"/>
      <c r="C50" s="103"/>
      <c r="D50" s="56"/>
      <c r="F50" s="114" t="str">
        <v>Grondtoevoer - prijs per kuub</v>
      </c>
      <c r="G50" s="49" t="s">
        <v>79</v>
      </c>
      <c r="H50" s="45"/>
      <c r="I50" s="108" cm="1">
        <f t="array" ref="I50">IF(ISBLANK(H50),INDEX(CultInvest01[[#All],[Geen]:[Waarde MIN]],_xlfn.XMATCH(Hennep!F50,CultInvest01[[#All],[Teelt - Investeringen perceel]]),_xlfn.XMATCH(Hennep!G50,CultInvest01[[#Headers],[Geen]:[Waarde MIN]])),H50)</f>
        <v>3</v>
      </c>
      <c r="J50" s="112" t="s">
        <v>120</v>
      </c>
      <c r="L50" s="55" t="str">
        <v>Dijkbeheer &amp; slootonderhoud</v>
      </c>
      <c r="M50" s="42">
        <f>O48*O49</f>
        <v>55.000000000000007</v>
      </c>
      <c r="N50" s="45"/>
      <c r="O50" s="107">
        <f>IF(ISBLANK(N50),M50,N50)</f>
        <v>55.000000000000007</v>
      </c>
      <c r="P50" s="56" t="s">
        <v>88</v>
      </c>
    </row>
    <row r="51" spans="2:16" ht="16.5" thickTop="1" thickBot="1">
      <c r="B51" s="76" t="s">
        <v>121</v>
      </c>
      <c r="C51" s="340" t="s">
        <v>109</v>
      </c>
      <c r="D51" s="341"/>
      <c r="F51" s="55" t="str">
        <v>Grondtoevoer - totaal</v>
      </c>
      <c r="G51" s="42">
        <f>I49*I50</f>
        <v>0</v>
      </c>
      <c r="H51" s="45"/>
      <c r="I51" s="107">
        <f>IF(ISBLANK(H51),G51,H51)</f>
        <v>0</v>
      </c>
      <c r="J51" s="56" t="s">
        <v>88</v>
      </c>
      <c r="L51" s="114" t="str">
        <v>Gewasverzorging - uren medewerker</v>
      </c>
      <c r="M51" s="49" t="s">
        <v>114</v>
      </c>
      <c r="N51" s="45"/>
      <c r="O51" s="108" cm="1">
        <f t="array" ref="O51">IF(ISBLANK(N51),INDEX(CultCost01[[#All],[Geen]:[Waarde MIN]],_xlfn.XMATCH(Hennep!L51,CultCost01[[#All],[Gewasverzorging]]),_xlfn.XMATCH(Hennep!M51,CultCost01[[#Headers],[Geen]:[Waarde MIN]])),N51)</f>
        <v>0</v>
      </c>
      <c r="P51" s="112" t="s">
        <v>116</v>
      </c>
    </row>
    <row r="52" spans="2:16" ht="16.5" thickTop="1" thickBot="1">
      <c r="B52" s="55" t="s">
        <v>122</v>
      </c>
      <c r="C52" s="42">
        <f>I45</f>
        <v>0</v>
      </c>
      <c r="D52" s="56" t="s">
        <v>88</v>
      </c>
      <c r="F52" s="114" t="str">
        <v>Watertoevoer - meter leiding per hectare</v>
      </c>
      <c r="G52" s="49" t="s">
        <v>114</v>
      </c>
      <c r="H52" s="45"/>
      <c r="I52" s="108" cm="1">
        <f t="array" ref="I52">IF(ISBLANK(H52),INDEX(CultInvest01[[#All],[Geen]:[Waarde MIN]],_xlfn.XMATCH(Hennep!F52,CultInvest01[[#All],[Teelt - Investeringen perceel]]),_xlfn.XMATCH(Hennep!G52,CultInvest01[[#Headers],[Geen]:[Waarde MIN]])),H52)</f>
        <v>0</v>
      </c>
      <c r="J52" s="112" t="s">
        <v>123</v>
      </c>
      <c r="L52" s="114" t="str">
        <v>Medewerker - tarief per uur</v>
      </c>
      <c r="M52" s="49" t="s">
        <v>79</v>
      </c>
      <c r="N52" s="45"/>
      <c r="O52" s="108" cm="1">
        <f t="array" ref="O52">IF(ISBLANK(N52),INDEX(CultCost01[[#All],[Geen]:[Waarde MIN]],_xlfn.XMATCH(Hennep!L52,CultCost01[[#All],[Gewasverzorging]]),_xlfn.XMATCH(Hennep!M52,CultCost01[[#Headers],[Geen]:[Waarde MIN]])),N52)</f>
        <v>25</v>
      </c>
      <c r="P52" s="112" t="s">
        <v>117</v>
      </c>
    </row>
    <row r="53" spans="2:16" ht="16.5" thickTop="1" thickBot="1">
      <c r="B53" s="77" t="s">
        <v>124</v>
      </c>
      <c r="C53" s="198">
        <f>I66</f>
        <v>646.25</v>
      </c>
      <c r="D53" s="220" t="s">
        <v>88</v>
      </c>
      <c r="F53" s="114" t="str">
        <v>Watertoevoer - prijs per meter leiding</v>
      </c>
      <c r="G53" s="49" t="s">
        <v>79</v>
      </c>
      <c r="H53" s="45"/>
      <c r="I53" s="108" cm="1">
        <f t="array" ref="I53">IF(ISBLANK(H53),INDEX(CultInvest01[[#All],[Geen]:[Waarde MIN]],_xlfn.XMATCH(Hennep!F53,CultInvest01[[#All],[Teelt - Investeringen perceel]]),_xlfn.XMATCH(Hennep!G53,CultInvest01[[#Headers],[Geen]:[Waarde MIN]])),H53)</f>
        <v>10</v>
      </c>
      <c r="J53" s="112" t="s">
        <v>125</v>
      </c>
      <c r="L53" s="114" t="str">
        <v xml:space="preserve">Gewasverzorging - uren management </v>
      </c>
      <c r="M53" s="49" t="s">
        <v>79</v>
      </c>
      <c r="N53" s="45"/>
      <c r="O53" s="108" cm="1">
        <f t="array" ref="O53">IF(ISBLANK(N53),INDEX(CultCost01[[#All],[Geen]:[Waarde MIN]],_xlfn.XMATCH(Hennep!L53,CultCost01[[#All],[Gewasverzorging]]),_xlfn.XMATCH(Hennep!M53,CultCost01[[#Headers],[Geen]:[Waarde MIN]])),N53)</f>
        <v>1</v>
      </c>
      <c r="P53" s="112" t="s">
        <v>116</v>
      </c>
    </row>
    <row r="54" spans="2:16" ht="16.5" thickTop="1" thickBot="1">
      <c r="B54" s="78" t="s">
        <v>118</v>
      </c>
      <c r="C54" s="147">
        <f>SUM(C52:C53)</f>
        <v>646.25</v>
      </c>
      <c r="D54" s="148" t="s">
        <v>88</v>
      </c>
      <c r="F54" s="125" t="str">
        <v>Watertoevoer - totaal</v>
      </c>
      <c r="G54" s="42">
        <f>I52*I53</f>
        <v>0</v>
      </c>
      <c r="H54" s="45"/>
      <c r="I54" s="107">
        <f>IF(ISBLANK(H54),G54,H54)</f>
        <v>0</v>
      </c>
      <c r="J54" s="56" t="s">
        <v>88</v>
      </c>
      <c r="L54" s="114" t="str">
        <v>Manager - tarief per uur</v>
      </c>
      <c r="M54" s="49" t="s">
        <v>114</v>
      </c>
      <c r="N54" s="45"/>
      <c r="O54" s="108" cm="1">
        <f t="array" ref="O54">IF(ISBLANK(N54),INDEX(CultCost01[[#All],[Geen]:[Waarde MIN]],_xlfn.XMATCH(Hennep!L54,CultCost01[[#All],[Gewasverzorging]]),_xlfn.XMATCH(Hennep!M54,CultCost01[[#Headers],[Geen]:[Waarde MIN]])),N54)</f>
        <v>0</v>
      </c>
      <c r="P54" s="112" t="s">
        <v>117</v>
      </c>
    </row>
    <row r="55" spans="2:16" ht="16.5" thickTop="1" thickBot="1">
      <c r="F55" s="114" t="str">
        <v>Waterafvoer - meter leiding per hectare</v>
      </c>
      <c r="G55" s="49" t="s">
        <v>114</v>
      </c>
      <c r="H55" s="45"/>
      <c r="I55" s="108" cm="1">
        <f t="array" ref="I55">IF(ISBLANK(H55),INDEX(CultInvest01[[#All],[Geen]:[Waarde MIN]],_xlfn.XMATCH(Hennep!F55,CultInvest01[[#All],[Teelt - Investeringen perceel]]),_xlfn.XMATCH(Hennep!G55,CultInvest01[[#Headers],[Geen]:[Waarde MIN]])),H55)</f>
        <v>0</v>
      </c>
      <c r="J55" s="112" t="s">
        <v>123</v>
      </c>
      <c r="L55" s="55" t="str">
        <v>Gewasverzorging - eigen arbeidsuren</v>
      </c>
      <c r="M55" s="42">
        <f>SUM(O51*O52,O53*O54)</f>
        <v>0</v>
      </c>
      <c r="N55" s="45"/>
      <c r="O55" s="107">
        <f>IF(ISBLANK(N55),M55,N55)</f>
        <v>0</v>
      </c>
      <c r="P55" s="56" t="s">
        <v>88</v>
      </c>
    </row>
    <row r="56" spans="2:16" ht="16.5" thickTop="1" thickBot="1">
      <c r="F56" s="114" t="str">
        <v>Waterafvoer - prijs per meter leiding</v>
      </c>
      <c r="G56" s="49" t="s">
        <v>79</v>
      </c>
      <c r="H56" s="45"/>
      <c r="I56" s="108" cm="1">
        <f t="array" ref="I56">IF(ISBLANK(H56),INDEX(CultInvest01[[#All],[Geen]:[Waarde MIN]],_xlfn.XMATCH(Hennep!F56,CultInvest01[[#All],[Teelt - Investeringen perceel]]),_xlfn.XMATCH(Hennep!G56,CultInvest01[[#Headers],[Geen]:[Waarde MIN]])),H56)</f>
        <v>10</v>
      </c>
      <c r="J56" s="112" t="s">
        <v>125</v>
      </c>
      <c r="L56" s="114" t="str">
        <v>Gewasverzorging - uren inhuur derden</v>
      </c>
      <c r="M56" s="49" t="s">
        <v>114</v>
      </c>
      <c r="N56" s="45"/>
      <c r="O56" s="108" cm="1">
        <f t="array" ref="O56">IF(ISBLANK(N56),INDEX(CultCost01[[#All],[Geen]:[Waarde MIN]],_xlfn.XMATCH(Hennep!L56,CultCost01[[#All],[Gewasverzorging]]),_xlfn.XMATCH(Hennep!M56,CultCost01[[#Headers],[Geen]:[Waarde MIN]])),N56)</f>
        <v>0</v>
      </c>
      <c r="P56" s="112" t="s">
        <v>116</v>
      </c>
    </row>
    <row r="57" spans="2:16" ht="16.5" thickTop="1" thickBot="1">
      <c r="F57" s="55" t="str">
        <v>Waterafvoer - totaal</v>
      </c>
      <c r="G57" s="42">
        <f>I55*I56</f>
        <v>0</v>
      </c>
      <c r="H57" s="45"/>
      <c r="I57" s="107">
        <f>IF(ISBLANK(H57),G57,H57)</f>
        <v>0</v>
      </c>
      <c r="J57" s="56" t="s">
        <v>88</v>
      </c>
      <c r="L57" s="114" t="str">
        <v>Gewasverzorging - tarief inhuur derden</v>
      </c>
      <c r="M57" s="49" t="s">
        <v>114</v>
      </c>
      <c r="N57" s="45"/>
      <c r="O57" s="108" cm="1">
        <f t="array" ref="O57">IF(ISBLANK(N57),INDEX(CultCost01[[#All],[Geen]:[Waarde MIN]],_xlfn.XMATCH(Hennep!L57,CultCost01[[#All],[Gewasverzorging]]),_xlfn.XMATCH(Hennep!M57,CultCost01[[#Headers],[Geen]:[Waarde MIN]])),N57)</f>
        <v>0</v>
      </c>
      <c r="P57" s="112" t="s">
        <v>117</v>
      </c>
    </row>
    <row r="58" spans="2:16" ht="16.5" thickTop="1" thickBot="1">
      <c r="F58" s="55" t="str">
        <v>Pompen - aanschaf incl. stroomvoorziening</v>
      </c>
      <c r="G58" s="49" t="s">
        <v>114</v>
      </c>
      <c r="H58" s="45"/>
      <c r="I58" s="107" cm="1">
        <f t="array" ref="I58">IF(ISBLANK(H58),INDEX(CultInvest01[[#All],[Geen]:[Waarde MIN]],_xlfn.XMATCH(Hennep!F58,CultInvest01[[#All],[Teelt - Investeringen perceel]]),_xlfn.XMATCH(Hennep!G58,CultInvest01[[#Headers],[Geen]:[Waarde MIN]])),H58)</f>
        <v>0</v>
      </c>
      <c r="J58" s="56" t="s">
        <v>88</v>
      </c>
      <c r="L58" s="55" t="str">
        <v>Gewasverzorging - inhuur derden</v>
      </c>
      <c r="M58" s="103">
        <f>O56*O57</f>
        <v>0</v>
      </c>
      <c r="N58" s="45"/>
      <c r="O58" s="107">
        <f>IF(ISBLANK(N58),M58,N58)</f>
        <v>0</v>
      </c>
      <c r="P58" s="56" t="s">
        <v>88</v>
      </c>
    </row>
    <row r="59" spans="2:16" ht="16.5" thickTop="1" thickBot="1">
      <c r="F59" s="55" t="str">
        <v>Waterpeilbeheersing (schuiven, slibkisten, etc.)</v>
      </c>
      <c r="G59" s="49" t="s">
        <v>114</v>
      </c>
      <c r="H59" s="45"/>
      <c r="I59" s="107" cm="1">
        <f t="array" ref="I59">IF(ISBLANK(H59),INDEX(CultInvest01[[#All],[Geen]:[Waarde MIN]],_xlfn.XMATCH(Hennep!F59,CultInvest01[[#All],[Teelt - Investeringen perceel]]),_xlfn.XMATCH(Hennep!G59,CultInvest01[[#Headers],[Geen]:[Waarde MIN]])),H59)</f>
        <v>0</v>
      </c>
      <c r="J59" s="56" t="s">
        <v>88</v>
      </c>
      <c r="L59" s="55"/>
      <c r="M59" s="103"/>
      <c r="N59" s="103"/>
      <c r="O59" s="103"/>
      <c r="P59" s="56"/>
    </row>
    <row r="60" spans="2:16" ht="16.5" thickTop="1" thickBot="1">
      <c r="F60" s="55" t="str">
        <v>Afrastering &amp; vraatbescherming</v>
      </c>
      <c r="G60" s="49" t="s">
        <v>114</v>
      </c>
      <c r="H60" s="45"/>
      <c r="I60" s="107" cm="1">
        <f t="array" ref="I60">IF(ISBLANK(H60),INDEX(CultInvest01[[#All],[Geen]:[Waarde MIN]],_xlfn.XMATCH(Hennep!F60,CultInvest01[[#All],[Teelt - Investeringen perceel]]),_xlfn.XMATCH(Hennep!G60,CultInvest01[[#Headers],[Geen]:[Waarde MIN]])),H60)</f>
        <v>0</v>
      </c>
      <c r="J60" s="56" t="s">
        <v>88</v>
      </c>
      <c r="L60" s="76" t="str" cm="1">
        <f t="array" ref="L60:L63">CultCost02[[#All],[Energieverbruik en water]]</f>
        <v>Energieverbruik en water</v>
      </c>
      <c r="M60" s="63" t="s">
        <v>112</v>
      </c>
      <c r="N60" s="64" t="s">
        <v>111</v>
      </c>
      <c r="O60" s="46">
        <f>SUM(O61:O63)</f>
        <v>0</v>
      </c>
      <c r="P60" s="111" t="s">
        <v>88</v>
      </c>
    </row>
    <row r="61" spans="2:16" ht="16.5" thickTop="1" thickBot="1">
      <c r="F61" s="55" t="str">
        <v>Overige kosten (bijv. folie)</v>
      </c>
      <c r="G61" s="49" t="s">
        <v>114</v>
      </c>
      <c r="H61" s="45"/>
      <c r="I61" s="107" cm="1">
        <f t="array" ref="I61">IF(ISBLANK(H61),INDEX(CultInvest01[[#All],[Geen]:[Waarde MIN]],_xlfn.XMATCH(Hennep!F61,CultInvest01[[#All],[Teelt - Investeringen perceel]]),_xlfn.XMATCH(Hennep!G61,CultInvest01[[#Headers],[Geen]:[Waarde MIN]])),H61)</f>
        <v>0</v>
      </c>
      <c r="J61" s="56" t="s">
        <v>88</v>
      </c>
      <c r="L61" s="55" t="str">
        <v>Elektraverbruik irrigatie en peilbeheer</v>
      </c>
      <c r="M61" s="49" t="s">
        <v>114</v>
      </c>
      <c r="N61" s="45"/>
      <c r="O61" s="107" cm="1">
        <f t="array" ref="O61">IF(ISBLANK(N61),INDEX(CultCost02[[#All],[Geen]:[Waarde MIN]],_xlfn.XMATCH(Hennep!L61,CultCost02[[#All],[Energieverbruik en water]]),_xlfn.XMATCH(Hennep!M61,CultCost02[[#Headers],[Geen]:[Waarde MIN]])),N61)</f>
        <v>0</v>
      </c>
      <c r="P61" s="56" t="s">
        <v>88</v>
      </c>
    </row>
    <row r="62" spans="2:16" ht="16.5" thickTop="1" thickBot="1">
      <c r="F62" s="55" t="str">
        <v>Vergunningsaanvraag</v>
      </c>
      <c r="G62" s="49" t="s">
        <v>114</v>
      </c>
      <c r="H62" s="45"/>
      <c r="I62" s="107" cm="1">
        <f t="array" ref="I62">IF(ISBLANK(H62),INDEX(CultInvest01[[#All],[Geen]:[Waarde MIN]],_xlfn.XMATCH(Hennep!F62,CultInvest01[[#All],[Teelt - Investeringen perceel]]),_xlfn.XMATCH(Hennep!G62,CultInvest01[[#Headers],[Geen]:[Waarde MIN]])),H62)</f>
        <v>0</v>
      </c>
      <c r="J62" s="56" t="s">
        <v>88</v>
      </c>
      <c r="L62" s="55" t="str">
        <v xml:space="preserve">Elektraverbruik overig </v>
      </c>
      <c r="M62" s="49" t="s">
        <v>114</v>
      </c>
      <c r="N62" s="45"/>
      <c r="O62" s="107" cm="1">
        <f t="array" ref="O62">IF(ISBLANK(N62),INDEX(CultCost02[[#All],[Geen]:[Waarde MIN]],_xlfn.XMATCH(Hennep!L62,CultCost02[[#All],[Energieverbruik en water]]),_xlfn.XMATCH(Hennep!M62,CultCost02[[#Headers],[Geen]:[Waarde MIN]])),N62)</f>
        <v>0</v>
      </c>
      <c r="P62" s="56" t="s">
        <v>88</v>
      </c>
    </row>
    <row r="63" spans="2:16" ht="16.5" thickTop="1" thickBot="1">
      <c r="F63" s="55"/>
      <c r="G63" s="43"/>
      <c r="H63" s="107"/>
      <c r="I63" s="107"/>
      <c r="J63" s="56"/>
      <c r="L63" s="55" t="str">
        <v>Heffingen waterverbruik</v>
      </c>
      <c r="M63" s="49" t="s">
        <v>114</v>
      </c>
      <c r="N63" s="45"/>
      <c r="O63" s="107" cm="1">
        <f t="array" ref="O63">IF(ISBLANK(N63),INDEX(CultCost02[[#All],[Geen]:[Waarde MIN]],_xlfn.XMATCH(Hennep!L63,CultCost02[[#All],[Energieverbruik en water]]),_xlfn.XMATCH(Hennep!M63,CultCost02[[#Headers],[Geen]:[Waarde MIN]])),N63)</f>
        <v>0</v>
      </c>
      <c r="P63" s="56" t="s">
        <v>88</v>
      </c>
    </row>
    <row r="64" spans="2:16" ht="16.5" thickTop="1" thickBot="1">
      <c r="F64" s="76" t="s">
        <v>127</v>
      </c>
      <c r="G64" s="43"/>
      <c r="H64" s="107"/>
      <c r="I64" s="107"/>
      <c r="J64" s="56"/>
      <c r="L64" s="55"/>
      <c r="M64" s="103"/>
      <c r="N64" s="103"/>
      <c r="O64" s="103"/>
      <c r="P64" s="56"/>
    </row>
    <row r="65" spans="6:16" ht="16.5" thickTop="1" thickBot="1">
      <c r="F65" s="49" t="s">
        <v>214</v>
      </c>
      <c r="G65" s="43"/>
      <c r="H65" s="107"/>
      <c r="I65" s="107"/>
      <c r="J65" s="56"/>
      <c r="L65" s="76" t="str" cm="1">
        <f t="array" ref="L65:L67">CultCost03[[#All],[Belastingen en verzekeringen]]</f>
        <v>Belastingen en verzekeringen</v>
      </c>
      <c r="M65" s="63" t="s">
        <v>112</v>
      </c>
      <c r="N65" s="64" t="s">
        <v>111</v>
      </c>
      <c r="O65" s="79">
        <f>SUM(O66:O67)</f>
        <v>175</v>
      </c>
      <c r="P65" s="111" t="s">
        <v>88</v>
      </c>
    </row>
    <row r="66" spans="6:16" ht="16.5" thickTop="1" thickBot="1">
      <c r="F66" s="76" t="s">
        <v>128</v>
      </c>
      <c r="G66" s="63" t="s">
        <v>112</v>
      </c>
      <c r="H66" s="64" t="s">
        <v>111</v>
      </c>
      <c r="I66" s="41">
        <f>IF(F67='DATA - Variabelen &amp; waarden'!B42,SUM(Hennep!I69,Hennep!I70,Hennep!I71,Hennep!I74,Hennep!I79),SUM(Hennep!I69,Hennep!I70,Hennep!I75,Hennep!I77))</f>
        <v>646.25</v>
      </c>
      <c r="J66" s="111" t="s">
        <v>88</v>
      </c>
      <c r="L66" s="55" t="str">
        <v>Waterschapsbelasting</v>
      </c>
      <c r="M66" s="49" t="s">
        <v>129</v>
      </c>
      <c r="N66" s="45"/>
      <c r="O66" s="119" cm="1">
        <f t="array" ref="O66">IF(ISBLANK(N66),INDEX(CultCost03[[#All],[Geen]:[Waarde MIN]],_xlfn.XMATCH(Hennep!L66,CultCost03[[#All],[Belastingen en verzekeringen]]),_xlfn.XMATCH(Hennep!M66,CultCost03[[#Headers],[Geen]:[Waarde MIN]])),N66)</f>
        <v>100</v>
      </c>
      <c r="P66" s="56" t="s">
        <v>88</v>
      </c>
    </row>
    <row r="67" spans="6:16" ht="16.5" thickTop="1" thickBot="1">
      <c r="F67" s="49" t="s">
        <v>215</v>
      </c>
      <c r="G67" s="43"/>
      <c r="H67" s="107"/>
      <c r="I67" s="107"/>
      <c r="J67" s="56"/>
      <c r="L67" s="55" t="str">
        <v>Verzekeringen</v>
      </c>
      <c r="M67" s="49" t="s">
        <v>79</v>
      </c>
      <c r="N67" s="45"/>
      <c r="O67" s="103" cm="1">
        <f t="array" ref="O67">IF(ISBLANK(N67),INDEX(CultCost03[[#All],[Geen]:[Waarde MIN]],_xlfn.XMATCH(Hennep!L67,CultCost03[[#All],[Belastingen en verzekeringen]]),_xlfn.XMATCH(Hennep!M67,CultCost03[[#Headers],[Geen]:[Waarde MIN]])),N67)</f>
        <v>75</v>
      </c>
      <c r="P67" s="56" t="s">
        <v>88</v>
      </c>
    </row>
    <row r="68" spans="6:16" ht="16.5" thickTop="1" thickBot="1">
      <c r="F68" s="76" t="s">
        <v>131</v>
      </c>
      <c r="G68" s="43"/>
      <c r="H68" s="107"/>
      <c r="I68" s="107"/>
      <c r="J68" s="56"/>
      <c r="L68" s="55"/>
      <c r="M68" s="103"/>
      <c r="N68" s="103"/>
      <c r="O68" s="103"/>
      <c r="P68" s="56"/>
    </row>
    <row r="69" spans="6:16" ht="16.5" thickTop="1" thickBot="1">
      <c r="F69" s="55" t="str" cm="1">
        <f t="array" ref="F69:F75">CultInvest02[Planten / Zaaien - Algemene kosten]</f>
        <v>Klaarmaken grond - grondbewerking</v>
      </c>
      <c r="G69" s="49" t="s">
        <v>79</v>
      </c>
      <c r="H69" s="45"/>
      <c r="I69" s="107" cm="1">
        <f t="array" ref="I69">IF(ISBLANK(H69),INDEX(CultInvest02[[#Headers],[#Data],[Geen]:[Waarde MIN]],_xlfn.XMATCH(Hennep!F69,CultInvest02[[#Headers],[#Data],[Planten / Zaaien - Algemene kosten]]),_xlfn.XMATCH(Hennep!G69,CultInvest02[[#Headers],[Geen]:[Waarde MIN]])),H69)</f>
        <v>250</v>
      </c>
      <c r="J69" s="56" t="s">
        <v>88</v>
      </c>
      <c r="L69" s="76" t="str" cm="1">
        <f t="array" ref="L69:L76">CultCost04[[#All],[Onderhoud]]</f>
        <v>Onderhoud</v>
      </c>
      <c r="M69" s="63" t="s">
        <v>112</v>
      </c>
      <c r="N69" s="64" t="s">
        <v>111</v>
      </c>
      <c r="O69" s="46">
        <f>SUM(O70:O76)</f>
        <v>0</v>
      </c>
      <c r="P69" s="111" t="s">
        <v>88</v>
      </c>
    </row>
    <row r="70" spans="6:16" ht="16.5" thickTop="1" thickBot="1">
      <c r="F70" s="55" t="str">
        <v>Klaarmaken grond - bodemverbeteraars/bemesting</v>
      </c>
      <c r="G70" s="49" t="s">
        <v>126</v>
      </c>
      <c r="H70" s="45"/>
      <c r="I70" s="107" cm="1">
        <f t="array" ref="I70">IF(ISBLANK(H70),INDEX(CultInvest02[[#Headers],[#Data],[Geen]:[Waarde MIN]],_xlfn.XMATCH(Hennep!F70,CultInvest02[[#Headers],[#Data],[Planten / Zaaien - Algemene kosten]]),_xlfn.XMATCH(Hennep!G70,CultInvest02[[#Headers],[Geen]:[Waarde MIN]])),H70)</f>
        <v>100</v>
      </c>
      <c r="J70" s="56" t="s">
        <v>88</v>
      </c>
      <c r="L70" s="55" t="str">
        <v>Grondverzet - totaal</v>
      </c>
      <c r="M70" s="49" t="s">
        <v>114</v>
      </c>
      <c r="N70" s="45"/>
      <c r="O70" s="43" cm="1">
        <f t="array" ref="O70">IF(ISBLANK(N70),(SUM(I48,I51)*INDEX(CultCost04[[#All],[Geen]:[Waarde MIN]],_xlfn.XMATCH(Hennep!L70,CultCost04[[#All],[Onderhoud]]),_xlfn.XMATCH(Hennep!M70,CultCost04[[#Headers],[Geen]:[Waarde MIN]]))),N70)</f>
        <v>0</v>
      </c>
      <c r="P70" s="56" t="s">
        <v>88</v>
      </c>
    </row>
    <row r="71" spans="6:16" ht="16.5" thickTop="1" thickBot="1">
      <c r="F71" s="55" t="str">
        <v>Plantkosten - machine</v>
      </c>
      <c r="G71" s="49" t="s">
        <v>114</v>
      </c>
      <c r="H71" s="45"/>
      <c r="I71" s="107" cm="1">
        <f t="array" ref="I71">IF(ISBLANK(H71),INDEX(CultInvest02[[#Headers],[#Data],[Geen]:[Waarde MIN]],_xlfn.XMATCH(Hennep!F71,CultInvest02[[#Headers],[#Data],[Planten / Zaaien - Algemene kosten]]),_xlfn.XMATCH(Hennep!G71,CultInvest02[[#Headers],[Geen]:[Waarde MIN]])),H71)</f>
        <v>0</v>
      </c>
      <c r="J71" s="56" t="s">
        <v>88</v>
      </c>
      <c r="L71" s="55" t="str">
        <v>Watertoevoer - totaal</v>
      </c>
      <c r="M71" s="49" t="s">
        <v>79</v>
      </c>
      <c r="N71" s="45"/>
      <c r="O71" s="42" cm="1">
        <f t="array" ref="O71">IF(ISBLANK(N71),(I54*INDEX(CultCost04[[#All],[Geen]:[Waarde MIN]],_xlfn.XMATCH(Hennep!L71,CultCost04[[#All],[Onderhoud]]),_xlfn.XMATCH(Hennep!M71,CultCost04[[#Headers],[Geen]:[Waarde MIN]]))),N71)</f>
        <v>0</v>
      </c>
      <c r="P71" s="56" t="s">
        <v>88</v>
      </c>
    </row>
    <row r="72" spans="6:16" ht="16.5" thickTop="1" thickBot="1">
      <c r="F72" s="114" t="str">
        <v>Plantkosten - uren per hectare</v>
      </c>
      <c r="G72" s="49" t="s">
        <v>129</v>
      </c>
      <c r="H72" s="45"/>
      <c r="I72" s="108" cm="1">
        <f t="array" ref="I72">IF(ISBLANK(H72),INDEX(CultInvest02[[#Headers],[#Data],[Geen]:[Waarde MIN]],_xlfn.XMATCH(Hennep!F72,CultInvest02[[#Headers],[#Data],[Planten / Zaaien - Algemene kosten]]),_xlfn.XMATCH(Hennep!G72,CultInvest02[[#Headers],[Geen]:[Waarde MIN]])),H72)</f>
        <v>40</v>
      </c>
      <c r="J72" s="112" t="s">
        <v>132</v>
      </c>
      <c r="L72" s="55" t="str">
        <v>Waterafvoer - totaal</v>
      </c>
      <c r="M72" s="49" t="s">
        <v>79</v>
      </c>
      <c r="N72" s="45"/>
      <c r="O72" s="42" cm="1">
        <f t="array" ref="O72">IF(ISBLANK(N72),(I57*INDEX(CultCost04[[#All],[Geen]:[Waarde MIN]],_xlfn.XMATCH(Hennep!L72,CultCost04[[#All],[Onderhoud]]),_xlfn.XMATCH(Hennep!M72,CultCost04[[#Headers],[Geen]:[Waarde MIN]]))),N72)</f>
        <v>0</v>
      </c>
      <c r="P72" s="56" t="s">
        <v>88</v>
      </c>
    </row>
    <row r="73" spans="6:16" ht="16.5" thickTop="1" thickBot="1">
      <c r="F73" s="114" t="str">
        <v>Plantkosten - prijs per uur</v>
      </c>
      <c r="G73" s="49" t="s">
        <v>79</v>
      </c>
      <c r="H73" s="45"/>
      <c r="I73" s="108" cm="1">
        <f t="array" ref="I73">IF(ISBLANK(H73),INDEX(CultInvest02[[#Headers],[#Data],[Geen]:[Waarde MIN]],_xlfn.XMATCH(Hennep!F73,CultInvest02[[#Headers],[#Data],[Planten / Zaaien - Algemene kosten]]),_xlfn.XMATCH(Hennep!G73,CultInvest02[[#Headers],[Geen]:[Waarde MIN]])),H73)</f>
        <v>25</v>
      </c>
      <c r="J73" s="112" t="s">
        <v>117</v>
      </c>
      <c r="L73" s="55" t="str">
        <v>Pompen - aanschaf incl. stroomvoorziening</v>
      </c>
      <c r="M73" s="49" t="s">
        <v>79</v>
      </c>
      <c r="N73" s="45"/>
      <c r="O73" s="42" cm="1">
        <f t="array" ref="O73">IF(ISBLANK(N73),(I58*INDEX(CultCost04[[#All],[Geen]:[Waarde MIN]],_xlfn.XMATCH(Hennep!L73,CultCost04[[#All],[Onderhoud]]),_xlfn.XMATCH(Hennep!M73,CultCost04[[#Headers],[Geen]:[Waarde MIN]]))),N73)</f>
        <v>0</v>
      </c>
      <c r="P73" s="56" t="s">
        <v>88</v>
      </c>
    </row>
    <row r="74" spans="6:16" ht="16.5" thickTop="1" thickBot="1">
      <c r="F74" s="55" t="str">
        <v>Plantkosten - arbeid totaal</v>
      </c>
      <c r="G74" s="43">
        <f>I72*I73</f>
        <v>1000</v>
      </c>
      <c r="H74" s="45"/>
      <c r="I74" s="107">
        <f>IF(ISBLANK(H74),G74,H74)</f>
        <v>1000</v>
      </c>
      <c r="J74" s="56" t="s">
        <v>88</v>
      </c>
      <c r="L74" s="55" t="str">
        <v>Waterpeilbeheersing (schuiven, slibkisten, etc.)</v>
      </c>
      <c r="M74" s="49" t="s">
        <v>79</v>
      </c>
      <c r="N74" s="45"/>
      <c r="O74" s="42" cm="1">
        <f t="array" ref="O74">IF(ISBLANK(N74),(I59*INDEX(CultCost04[[#All],[Geen]:[Waarde MIN]],_xlfn.XMATCH(Hennep!L74,CultCost04[[#All],[Onderhoud]]),_xlfn.XMATCH(Hennep!M74,CultCost04[[#Headers],[Geen]:[Waarde MIN]]))),N74)</f>
        <v>0</v>
      </c>
      <c r="P74" s="56" t="s">
        <v>88</v>
      </c>
    </row>
    <row r="75" spans="6:16" ht="16.5" thickTop="1" thickBot="1">
      <c r="F75" s="55" t="str">
        <v>Zaaikosten - machine + arbeid</v>
      </c>
      <c r="G75" s="49" t="s">
        <v>129</v>
      </c>
      <c r="H75" s="45"/>
      <c r="I75" s="107" cm="1">
        <f t="array" ref="I75">IF(ISBLANK(H75),INDEX(CultInvest02[[#Headers],[#Data],[Geen]:[Waarde MIN]],_xlfn.XMATCH(Hennep!F75,CultInvest02[[#Headers],[#Data],[Planten / Zaaien - Algemene kosten]]),_xlfn.XMATCH(Hennep!G75,CultInvest02[[#Headers],[Geen]:[Waarde MIN]])),H75)</f>
        <v>166.25</v>
      </c>
      <c r="J75" s="112" t="s">
        <v>117</v>
      </c>
      <c r="L75" s="55" t="str">
        <v>Afrastering &amp; vraatbescherming</v>
      </c>
      <c r="M75" s="49" t="s">
        <v>129</v>
      </c>
      <c r="N75" s="45"/>
      <c r="O75" s="42" cm="1">
        <f t="array" ref="O75">IF(ISBLANK(N75),(I60*INDEX(CultCost04[[#All],[Geen]:[Waarde MIN]],_xlfn.XMATCH(Hennep!L75,CultCost04[[#All],[Onderhoud]]),_xlfn.XMATCH(Hennep!M75,CultCost04[[#Headers],[Geen]:[Waarde MIN]]))),N75)</f>
        <v>0</v>
      </c>
      <c r="P75" s="56" t="s">
        <v>88</v>
      </c>
    </row>
    <row r="76" spans="6:16" ht="16.5" thickTop="1" thickBot="1">
      <c r="F76" s="76" t="s">
        <v>133</v>
      </c>
      <c r="G76" s="43"/>
      <c r="H76" s="107"/>
      <c r="I76" s="107"/>
      <c r="J76" s="56"/>
      <c r="L76" s="55" t="str">
        <v>Overige kosten (bijv. folie)</v>
      </c>
      <c r="M76" s="49" t="s">
        <v>79</v>
      </c>
      <c r="N76" s="45"/>
      <c r="O76" s="42" cm="1">
        <f t="array" ref="O76">IF(ISBLANK(N76),(I61*INDEX(CultCost04[[#All],[Geen]:[Waarde MIN]],_xlfn.XMATCH(Hennep!L76,CultCost04[[#All],[Onderhoud]]),_xlfn.XMATCH(Hennep!M76,CultCost04[[#Headers],[Geen]:[Waarde MIN]]))),N76)</f>
        <v>0</v>
      </c>
      <c r="P76" s="56" t="s">
        <v>88</v>
      </c>
    </row>
    <row r="77" spans="6:16" ht="16.5" thickTop="1" thickBot="1">
      <c r="F77" s="76"/>
      <c r="G77" s="49" t="s">
        <v>79</v>
      </c>
      <c r="H77" s="45"/>
      <c r="I77" s="107" cm="1">
        <f t="array" ref="I77">IF(ISBLANK(H77),INDEX(Zaaigoed[[Geen]:[Waarde MIN]],_xlfn.XMATCH(Hennep!F65,Zaaigoed[Zaaigoed]),_xlfn.XMATCH(Hennep!G77,Zaaigoed[[#Headers],[Geen]:[Waarde MIN]])),H77)</f>
        <v>130</v>
      </c>
      <c r="J77" s="56" t="s">
        <v>88</v>
      </c>
      <c r="L77" s="55"/>
      <c r="M77" s="103"/>
      <c r="N77" s="103"/>
      <c r="O77" s="103"/>
      <c r="P77" s="56"/>
    </row>
    <row r="78" spans="6:16" ht="16.5" thickTop="1" thickBot="1">
      <c r="F78" s="76" t="s">
        <v>134</v>
      </c>
      <c r="G78" s="43"/>
      <c r="H78" s="107"/>
      <c r="I78" s="107"/>
      <c r="J78" s="56"/>
      <c r="L78" s="76" t="str" cm="1">
        <f t="array" ref="L78:L83">CultCost05[[#All],[Afschrijving &amp; aflossing teeltinvesteringen]]</f>
        <v>Afschrijving &amp; aflossing teeltinvesteringen</v>
      </c>
      <c r="M78" s="63" t="s">
        <v>112</v>
      </c>
      <c r="N78" s="64" t="s">
        <v>111</v>
      </c>
      <c r="O78" s="46">
        <f>SUM(O81,O83)</f>
        <v>678.56249999999989</v>
      </c>
      <c r="P78" s="111" t="s">
        <v>88</v>
      </c>
    </row>
    <row r="79" spans="6:16" ht="16.5" thickTop="1" thickBot="1">
      <c r="F79" s="76"/>
      <c r="G79" s="49" t="s">
        <v>129</v>
      </c>
      <c r="H79" s="45"/>
      <c r="I79" s="107" cm="1">
        <f t="array" ref="I79">IF(ISBLANK(H79),INDEX(Plantgoed[[Geen]:[Waarde MIN]],_xlfn.XMATCH(Hennep!F65,Plantgoed[Plantgoed]),_xlfn.XMATCH(Hennep!G79,Plantgoed[[#Headers],[Geen]:[Waarde MIN]])),H79)</f>
        <v>0</v>
      </c>
      <c r="J79" s="56" t="s">
        <v>88</v>
      </c>
      <c r="L79" s="55" t="str">
        <v>Rentepercentage (wel/geen lening)</v>
      </c>
      <c r="M79" s="49" t="s">
        <v>79</v>
      </c>
      <c r="N79" s="50"/>
      <c r="O79" s="47" cm="1">
        <f t="array" ref="O79">IF(ISBLANK(N79),INDEX(CultCost05[[#All],[Geen]:[Waarde MIN]],_xlfn.XMATCH(Hennep!L79,CultCost05[[#All],[Afschrijving &amp; aflossing teeltinvesteringen]]),_xlfn.XMATCH(Hennep!M79,CultCost05[[#Headers],[Geen]:[Waarde MIN]])),N79)</f>
        <v>0.05</v>
      </c>
      <c r="P79" s="56"/>
    </row>
    <row r="80" spans="6:16" ht="16.5" thickTop="1" thickBot="1">
      <c r="F80" s="57"/>
      <c r="G80" s="104"/>
      <c r="H80" s="104"/>
      <c r="I80" s="104"/>
      <c r="J80" s="58"/>
      <c r="L80" s="55" t="str">
        <v>Afschrijvingstermijn - Investeringen perceel</v>
      </c>
      <c r="M80" s="49" t="s">
        <v>126</v>
      </c>
      <c r="N80" s="45">
        <v>15</v>
      </c>
      <c r="O80" s="43" cm="1">
        <f t="array" ref="O80">IF(ISBLANK(N80),INDEX(CultCost05[[#All],[Geen]:[Waarde MIN]],_xlfn.XMATCH(Hennep!L80,CultCost05[[#All],[Afschrijving &amp; aflossing teeltinvesteringen]]),_xlfn.XMATCH(Hennep!M80,CultCost05[[#Headers],[Geen]:[Waarde MIN]])),N80)</f>
        <v>15</v>
      </c>
      <c r="P80" s="56" t="s">
        <v>135</v>
      </c>
    </row>
    <row r="81" spans="2:26" ht="16.5" thickTop="1" thickBot="1">
      <c r="I81"/>
      <c r="L81" s="55" t="str">
        <v>Teeltinvesteringen perceel - jaarlijkse afschrijving</v>
      </c>
      <c r="M81" s="43">
        <f>-PMT(O79,O80,I45)</f>
        <v>0</v>
      </c>
      <c r="N81" s="45"/>
      <c r="O81" s="107">
        <f>IF(ISBLANK(N81),M81,N81)</f>
        <v>0</v>
      </c>
      <c r="P81" s="56" t="s">
        <v>88</v>
      </c>
    </row>
    <row r="82" spans="2:26" ht="16.5" thickTop="1" thickBot="1">
      <c r="I82"/>
      <c r="L82" s="55" t="str">
        <v>Afschrijvingstermijn - Plant/zaaikosten</v>
      </c>
      <c r="M82" s="49" t="s">
        <v>79</v>
      </c>
      <c r="N82" s="45">
        <v>1</v>
      </c>
      <c r="O82" s="43" cm="1">
        <f t="array" ref="O82">IF(ISBLANK(N82),INDEX(CultCost05[[#All],[Geen]:[Waarde MIN]],_xlfn.XMATCH(Hennep!L82,CultCost05[[#All],[Afschrijving &amp; aflossing teeltinvesteringen]]),_xlfn.XMATCH(Hennep!M82,CultCost05[[#Headers],[Geen]:[Waarde MIN]])),N82)</f>
        <v>1</v>
      </c>
      <c r="P82" s="56" t="s">
        <v>135</v>
      </c>
    </row>
    <row r="83" spans="2:26" ht="16" thickTop="1">
      <c r="I83"/>
      <c r="L83" s="55" t="str">
        <v>Plant/zaaikosten - jaarlijkse afschrijving</v>
      </c>
      <c r="M83" s="43">
        <f>-PMT(O79,O82,I66)</f>
        <v>678.56249999999989</v>
      </c>
      <c r="N83" s="45"/>
      <c r="O83" s="107">
        <f>IF(ISBLANK(N83),M83,N83)</f>
        <v>678.56249999999989</v>
      </c>
      <c r="P83" s="56" t="s">
        <v>88</v>
      </c>
    </row>
    <row r="84" spans="2:26">
      <c r="I84"/>
      <c r="L84" s="57"/>
      <c r="M84" s="104"/>
      <c r="N84" s="104"/>
      <c r="O84" s="104"/>
      <c r="P84" s="58"/>
    </row>
    <row r="85" spans="2:26">
      <c r="I85"/>
    </row>
    <row r="86" spans="2:26" s="75" customFormat="1" ht="17">
      <c r="B86" s="74" t="s">
        <v>136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8" spans="2:26" ht="16" thickBot="1">
      <c r="B88" s="61" t="s">
        <v>137</v>
      </c>
      <c r="C88" s="105"/>
      <c r="D88" s="60"/>
      <c r="F88" s="61" t="s">
        <v>138</v>
      </c>
      <c r="G88" s="54" t="str">
        <f>F65</f>
        <v>Hennep</v>
      </c>
      <c r="H88" s="105"/>
      <c r="I88" s="80"/>
      <c r="J88" s="60"/>
      <c r="L88" s="121" t="s">
        <v>139</v>
      </c>
      <c r="M88" s="105"/>
      <c r="N88" s="105"/>
      <c r="O88" s="105"/>
      <c r="P88" s="60"/>
    </row>
    <row r="89" spans="2:26" ht="16.5" thickTop="1" thickBot="1">
      <c r="B89" s="81"/>
      <c r="C89" s="103"/>
      <c r="D89" s="56"/>
      <c r="F89" s="76"/>
      <c r="G89" s="63" t="s">
        <v>112</v>
      </c>
      <c r="H89" s="64" t="s">
        <v>111</v>
      </c>
      <c r="I89" s="43"/>
      <c r="J89" s="56"/>
      <c r="L89" s="55" t="s">
        <v>139</v>
      </c>
      <c r="M89" s="49" t="s">
        <v>216</v>
      </c>
      <c r="N89" s="103"/>
      <c r="O89" s="103"/>
      <c r="P89" s="56"/>
    </row>
    <row r="90" spans="2:26" ht="16.5" thickTop="1" thickBot="1">
      <c r="B90" s="76" t="s">
        <v>141</v>
      </c>
      <c r="C90" s="340" t="s">
        <v>109</v>
      </c>
      <c r="D90" s="341"/>
      <c r="F90" s="122" t="str">
        <f>_xlfn.XLOOKUP(G88,Gewasopbrengst_0[Gewasopbrengst gehele plant],Gewasopbrengst_0[Gewasopbrengst 1])</f>
        <v>Hennepstro</v>
      </c>
      <c r="G90" s="49" t="s">
        <v>79</v>
      </c>
      <c r="H90" s="45"/>
      <c r="I90" s="128" cm="1">
        <f t="array" ref="I90">IF(ISBLANK(H90),INDEX(Gewasopbrengst_1[[Geen]:[Waarde MIN]],_xlfn.XMATCH(Hennep!G88,Gewasopbrengst_1[Gewasopbrengst 1]),_xlfn.XMATCH(Hennep!G90,Gewasopbrengst_1[[#Headers],[Geen]:[Waarde MIN]])),H90)</f>
        <v>8</v>
      </c>
      <c r="J90" s="56" t="s">
        <v>142</v>
      </c>
      <c r="L90" s="76" t="s">
        <v>143</v>
      </c>
      <c r="M90" s="103"/>
      <c r="N90" s="103"/>
      <c r="O90" s="103"/>
      <c r="P90" s="56"/>
    </row>
    <row r="91" spans="2:26" ht="16.5" thickTop="1" thickBot="1">
      <c r="B91" s="55" t="str">
        <f>F90</f>
        <v>Hennepstro</v>
      </c>
      <c r="C91" s="130">
        <f>I90</f>
        <v>8</v>
      </c>
      <c r="D91" s="56" t="s">
        <v>142</v>
      </c>
      <c r="F91" s="122" t="str">
        <f>_xlfn.XLOOKUP(G88,Gewasopbrengst_0[Gewasopbrengst gehele plant],Gewasopbrengst_0[Gewasopbrengst 2])</f>
        <v>Aren</v>
      </c>
      <c r="G91" s="49" t="s">
        <v>114</v>
      </c>
      <c r="H91" s="201"/>
      <c r="I91" s="129" cm="1">
        <f t="array" ref="I91">IF(ISBLANK(H91),INDEX(Gewasopbrengst_2[[Geen]:[Waarde MIN]],_xlfn.XMATCH(Hennep!G88,Gewasopbrengst_2[Gewasopbrengst 2]),_xlfn.XMATCH(Hennep!G91,Gewasopbrengst_2[[#Headers],[Geen]:[Waarde MIN]])),H91)</f>
        <v>0</v>
      </c>
      <c r="J91" s="56" t="s">
        <v>142</v>
      </c>
      <c r="L91" s="122" t="str">
        <f>F90</f>
        <v>Hennepstro</v>
      </c>
      <c r="M91" s="49" t="s">
        <v>79</v>
      </c>
      <c r="N91" s="45"/>
      <c r="O91" s="47" cm="1">
        <f t="array" ref="O91">IF(ISBLANK(N91),INDEX(GehalteDS_1[[Geen]:[Waarde MIN]],_xlfn.XMATCH(Hennep!G88,GehalteDS_1[DS-gehalte 1]),_xlfn.XMATCH(Hennep!M91,GehalteDS_1[[#Headers],[Geen]:[Waarde MIN]])),N91)</f>
        <v>0.8</v>
      </c>
      <c r="P91" s="56" t="s">
        <v>144</v>
      </c>
    </row>
    <row r="92" spans="2:26" ht="16.5" thickTop="1" thickBot="1">
      <c r="B92" s="55" t="str">
        <f>F91</f>
        <v>Aren</v>
      </c>
      <c r="C92" s="130">
        <f>I91</f>
        <v>0</v>
      </c>
      <c r="D92" s="56" t="s">
        <v>142</v>
      </c>
      <c r="F92" s="55"/>
      <c r="G92" s="103"/>
      <c r="H92" s="103"/>
      <c r="I92" s="43"/>
      <c r="J92" s="56"/>
      <c r="L92" s="122" t="str">
        <f>F91</f>
        <v>Aren</v>
      </c>
      <c r="M92" s="49" t="s">
        <v>126</v>
      </c>
      <c r="N92" s="201"/>
      <c r="O92" s="216" cm="1">
        <f t="array" ref="O92">IF(ISBLANK(N92),INDEX(GehalteDS_2[[Geen]:[Waarde MIN]],_xlfn.XMATCH(Hennep!G88,GehalteDS_2[DS-gehalte 2]),_xlfn.XMATCH(Hennep!M92,GehalteDS_2[[#Headers],[Geen]:[Waarde MIN]])),N92)</f>
        <v>0</v>
      </c>
      <c r="P92" s="56" t="s">
        <v>144</v>
      </c>
    </row>
    <row r="93" spans="2:26" ht="16.5" thickTop="1" thickBot="1">
      <c r="B93" s="55"/>
      <c r="C93" s="103"/>
      <c r="D93" s="56"/>
      <c r="F93" s="76" t="s">
        <v>145</v>
      </c>
      <c r="G93" s="63" t="s">
        <v>112</v>
      </c>
      <c r="H93" s="64" t="s">
        <v>111</v>
      </c>
      <c r="I93" s="43"/>
      <c r="J93" s="56"/>
      <c r="L93" s="55"/>
      <c r="M93" s="103"/>
      <c r="N93" s="103"/>
      <c r="O93" s="103"/>
      <c r="P93" s="56"/>
    </row>
    <row r="94" spans="2:26" ht="16.5" thickTop="1" thickBot="1">
      <c r="B94" s="76" t="str">
        <f>F93</f>
        <v xml:space="preserve">Opbrengstprijzen </v>
      </c>
      <c r="C94" s="340" t="s">
        <v>109</v>
      </c>
      <c r="D94" s="341"/>
      <c r="F94" s="55" t="str">
        <f>F90</f>
        <v>Hennepstro</v>
      </c>
      <c r="G94" s="49" t="s">
        <v>79</v>
      </c>
      <c r="H94" s="45"/>
      <c r="I94" s="43" cm="1">
        <f t="array" ref="I94">IF(ISBLANK(H94),INDEX(Opbrengstprijs_1[[Geen]:[Waarde MIN]],_xlfn.XMATCH(Hennep!G88,Opbrengstprijs_1[Opbrengstprijs 1]),_xlfn.XMATCH(Hennep!G94,Opbrengstprijs_1[[#Headers],[Geen]:[Waarde MIN]])),H94)</f>
        <v>126</v>
      </c>
      <c r="J94" s="56" t="s">
        <v>146</v>
      </c>
      <c r="L94" s="55" t="s">
        <v>147</v>
      </c>
      <c r="M94" s="49" t="s">
        <v>217</v>
      </c>
      <c r="N94" s="103"/>
      <c r="O94" s="103"/>
      <c r="P94" s="56"/>
    </row>
    <row r="95" spans="2:26" ht="16.5" thickTop="1" thickBot="1">
      <c r="B95" s="55" t="str">
        <f>F94</f>
        <v>Hennepstro</v>
      </c>
      <c r="C95" s="43">
        <f>I94*I90</f>
        <v>1008</v>
      </c>
      <c r="D95" s="56" t="s">
        <v>149</v>
      </c>
      <c r="F95" s="55" t="str">
        <f>F91</f>
        <v>Aren</v>
      </c>
      <c r="G95" s="49" t="s">
        <v>126</v>
      </c>
      <c r="H95" s="201"/>
      <c r="I95" s="107" cm="1">
        <f t="array" ref="I95">IF(ISBLANK(H95),INDEX(Opbrengstprijs_2[[Geen]:[Waarde MIN]],_xlfn.XMATCH(Hennep!G88,Opbrengstprijs_2[Opbrengstprijs 2]),_xlfn.XMATCH(Hennep!G95,Opbrengstprijs_2[[#Headers],[Geen]:[Waarde MIN]])),H95)</f>
        <v>0</v>
      </c>
      <c r="J95" s="56" t="s">
        <v>146</v>
      </c>
      <c r="L95" s="55"/>
      <c r="M95" s="103"/>
      <c r="N95" s="103"/>
      <c r="O95" s="103"/>
      <c r="P95" s="56"/>
    </row>
    <row r="96" spans="2:26" ht="16" thickTop="1">
      <c r="B96" s="55" t="str">
        <f>F95</f>
        <v>Aren</v>
      </c>
      <c r="C96" s="43">
        <f>I95*I91</f>
        <v>0</v>
      </c>
      <c r="D96" s="56" t="s">
        <v>149</v>
      </c>
      <c r="F96" s="215"/>
      <c r="G96" s="104"/>
      <c r="H96" s="104"/>
      <c r="I96" s="118"/>
      <c r="J96" s="58"/>
      <c r="L96" s="76" t="s">
        <v>150</v>
      </c>
      <c r="M96" s="63" t="s">
        <v>112</v>
      </c>
      <c r="N96" s="64" t="s">
        <v>111</v>
      </c>
      <c r="O96" s="103"/>
      <c r="P96" s="56"/>
    </row>
    <row r="97" spans="2:16">
      <c r="B97" s="55"/>
      <c r="C97" s="103"/>
      <c r="D97" s="56"/>
      <c r="L97" s="114" t="s">
        <v>151</v>
      </c>
      <c r="M97" s="120">
        <f>_xlfn.XLOOKUP(M94,B91:B92,C91:C92)</f>
        <v>8</v>
      </c>
      <c r="N97" s="135"/>
      <c r="O97" s="108">
        <f>IF(M89="Ja",IF(ISBLANK(N97),M97,N97),0)</f>
        <v>0</v>
      </c>
      <c r="P97" s="112" t="s">
        <v>152</v>
      </c>
    </row>
    <row r="98" spans="2:16" s="195" customFormat="1">
      <c r="B98" s="76" t="s">
        <v>153</v>
      </c>
      <c r="C98" s="340" t="s">
        <v>109</v>
      </c>
      <c r="D98" s="341"/>
      <c r="F98" s="165" t="s">
        <v>154</v>
      </c>
      <c r="G98" s="166"/>
      <c r="H98" s="166"/>
      <c r="I98" s="175"/>
      <c r="J98" s="167"/>
      <c r="L98" s="114"/>
      <c r="M98" s="73"/>
      <c r="N98" s="73"/>
      <c r="O98" s="127">
        <f>_xlfn.XLOOKUP(M94,L91:L92,O91:O92)</f>
        <v>0.8</v>
      </c>
      <c r="P98" s="112" t="s">
        <v>144</v>
      </c>
    </row>
    <row r="99" spans="2:16" ht="16" thickBot="1">
      <c r="B99" s="55" t="str">
        <f>F100</f>
        <v>Oogstkosten Hennepstro</v>
      </c>
      <c r="C99" s="42">
        <f>I100</f>
        <v>363.58749999999998</v>
      </c>
      <c r="D99" s="56" t="s">
        <v>88</v>
      </c>
      <c r="F99" s="168"/>
      <c r="G99" s="103"/>
      <c r="H99" s="103"/>
      <c r="I99" s="43"/>
      <c r="J99" s="176"/>
      <c r="L99" s="125" t="s">
        <v>155</v>
      </c>
      <c r="M99" s="73"/>
      <c r="N99" s="73"/>
      <c r="O99" s="107">
        <f>IFERROR(O97/O98,0)</f>
        <v>0</v>
      </c>
      <c r="P99" s="56" t="s">
        <v>156</v>
      </c>
    </row>
    <row r="100" spans="2:16" ht="16.5" thickTop="1" thickBot="1">
      <c r="B100" s="55" t="str">
        <f>F110</f>
        <v>Opslag - Plant/blad &amp; stengelmateriaal</v>
      </c>
      <c r="C100" s="42">
        <f>IFERROR(#REF!/#REF!,0)</f>
        <v>0</v>
      </c>
      <c r="D100" s="56" t="s">
        <v>88</v>
      </c>
      <c r="F100" s="189" t="str">
        <f>_xlfn.CONCAT("Oogstkosten ",F90)</f>
        <v>Oogstkosten Hennepstro</v>
      </c>
      <c r="G100" s="63" t="s">
        <v>112</v>
      </c>
      <c r="H100" s="64" t="s">
        <v>111</v>
      </c>
      <c r="I100" s="41">
        <f>SUM(I106,I103)</f>
        <v>363.58749999999998</v>
      </c>
      <c r="J100" s="177" t="s">
        <v>88</v>
      </c>
      <c r="L100" s="114" t="str">
        <f>'DATA - Variabelen &amp; waarden'!B383</f>
        <v xml:space="preserve">Drogestofgehalte output </v>
      </c>
      <c r="M100" s="49" t="s">
        <v>79</v>
      </c>
      <c r="N100" s="45"/>
      <c r="O100" s="127" cm="1">
        <f t="array" ref="O100">IF(ISBLANK(N100),INDEX(VoorDroog[[#All],[Geen]:[Waarde MIN]],_xlfn.XMATCH(Hennep!L100,VoorDroog[[#All],[Voordrogen]]),_xlfn.XMATCH(Hennep!M100,VoorDroog[[#Headers],[Geen]:[Waarde MIN]])),N100)</f>
        <v>0.9</v>
      </c>
      <c r="P100" s="112" t="s">
        <v>144</v>
      </c>
    </row>
    <row r="101" spans="2:16" ht="16.5" thickTop="1" thickBot="1">
      <c r="B101" s="55" t="str">
        <f>F117</f>
        <v>Oogstkosten Aren</v>
      </c>
      <c r="C101" s="42">
        <f>I117</f>
        <v>0</v>
      </c>
      <c r="D101" s="56" t="s">
        <v>88</v>
      </c>
      <c r="F101" s="185" t="s">
        <v>213</v>
      </c>
      <c r="G101" s="49" t="s">
        <v>129</v>
      </c>
      <c r="H101" s="45"/>
      <c r="I101" s="108" cm="1">
        <f t="array" ref="I101">IF(ISBLANK(H101),INDEX(HarvestCost01[[#All],[Geen]:[Waarde MIN]],_xlfn.XMATCH(Hennep!F101,HarvestCost01[[#All],[Oogst - tarief - Gehele plant/blad &amp; stengelmateriaal]]),_xlfn.XMATCH(Hennep!G101,HarvestCost01[[#Headers],[Geen]:[Waarde MIN]])),H101)</f>
        <v>396.25</v>
      </c>
      <c r="J101" s="181" t="s">
        <v>117</v>
      </c>
      <c r="L101" s="125" t="s">
        <v>158</v>
      </c>
      <c r="M101" s="103"/>
      <c r="N101" s="103"/>
      <c r="O101" s="42">
        <f>IFERROR(IF($O$98&lt;$O$100,O97/O100,0),0)</f>
        <v>0</v>
      </c>
      <c r="P101" s="56" t="s">
        <v>156</v>
      </c>
    </row>
    <row r="102" spans="2:16" ht="16.5" thickTop="1" thickBot="1">
      <c r="B102" s="55" t="str">
        <f>F127</f>
        <v>Opslag - Zaden</v>
      </c>
      <c r="C102" s="42">
        <f>IFERROR(#REF!/#REF!,0)</f>
        <v>0</v>
      </c>
      <c r="D102" s="56" t="s">
        <v>88</v>
      </c>
      <c r="F102" s="179" t="s">
        <v>159</v>
      </c>
      <c r="G102" s="49" t="s">
        <v>126</v>
      </c>
      <c r="H102" s="45"/>
      <c r="I102" s="187" cm="1">
        <f t="array" ref="I102">IF(ISBLANK(H102),INDEX('DATA - Variabelen &amp; waarden'!D298:G307,_xlfn.XMATCH(Hennep!F101,'DATA - Variabelen &amp; waarden'!B298:B307),_xlfn.XMATCH(Hennep!G102,'DATA - Variabelen &amp; waarden'!D298:G298)),H102)</f>
        <v>0.75</v>
      </c>
      <c r="J102" s="188" t="s">
        <v>116</v>
      </c>
      <c r="L102" s="134" t="s">
        <v>160</v>
      </c>
      <c r="M102" s="132"/>
      <c r="N102" s="132"/>
      <c r="O102" s="144">
        <f>IF(O98&lt;O100,O99-O101,0)</f>
        <v>0</v>
      </c>
      <c r="P102" s="133" t="s">
        <v>156</v>
      </c>
    </row>
    <row r="103" spans="2:16" ht="16.5" thickTop="1" thickBot="1">
      <c r="B103" s="145" t="s">
        <v>161</v>
      </c>
      <c r="C103" s="42">
        <f>IFERROR(#REF!/#REF!,0)</f>
        <v>0</v>
      </c>
      <c r="D103" s="146" t="s">
        <v>88</v>
      </c>
      <c r="F103" s="186" t="s">
        <v>162</v>
      </c>
      <c r="G103" s="173">
        <f>I101*I102</f>
        <v>297.1875</v>
      </c>
      <c r="H103" s="45"/>
      <c r="I103" s="107">
        <f>IF(ISBLANK(H103),G103,H103)</f>
        <v>297.1875</v>
      </c>
      <c r="J103" s="162" t="s">
        <v>88</v>
      </c>
      <c r="L103" s="55" t="s">
        <v>163</v>
      </c>
      <c r="M103" s="49" t="s">
        <v>129</v>
      </c>
      <c r="N103" s="142"/>
      <c r="O103" s="48" cm="1">
        <f t="array" ref="O103">IF(ISBLANK(N103),_xlfn.XLOOKUP(M103,Tabel37[[#Headers],[Geen]:[Waarde MIN]],'DATA - Variabelen &amp; waarden'!D415:G415,"Selecteer waarde"),N103)</f>
        <v>10</v>
      </c>
      <c r="P103" s="56" t="s">
        <v>164</v>
      </c>
    </row>
    <row r="104" spans="2:16" ht="16.5" thickTop="1" thickBot="1">
      <c r="B104" s="78" t="s">
        <v>165</v>
      </c>
      <c r="C104" s="147">
        <f>SUM(C99:C103)</f>
        <v>363.58749999999998</v>
      </c>
      <c r="D104" s="217" t="s">
        <v>88</v>
      </c>
      <c r="F104" s="179" t="str">
        <f>HarvestCost11[[#Headers],[Veld &amp; opslaglogistiek - tarief - Gehele plant/blad &amp; stengelmateriaal]]</f>
        <v>Veld &amp; opslaglogistiek - tarief - Gehele plant/blad &amp; stengelmateriaal</v>
      </c>
      <c r="G104" s="49" t="s">
        <v>79</v>
      </c>
      <c r="H104" s="45"/>
      <c r="I104" s="187" cm="1">
        <f t="array" ref="I104">IF(ISBLANK(H104),_xlfn.XLOOKUP(G104,HarvestCost11[[#Headers],[Geen]:[Waarde MIN]],HarvestCost11[[#Totals],[Geen]:[Waarde MIN]]),H104)</f>
        <v>80</v>
      </c>
      <c r="J104" s="188" t="s">
        <v>117</v>
      </c>
      <c r="L104" s="55"/>
      <c r="M104" s="103"/>
      <c r="N104" s="103"/>
      <c r="O104" s="103"/>
      <c r="P104" s="56"/>
    </row>
    <row r="105" spans="2:16" ht="16.5" thickTop="1" thickBot="1">
      <c r="F105" s="179" t="s">
        <v>166</v>
      </c>
      <c r="G105" s="49" t="s">
        <v>79</v>
      </c>
      <c r="H105" s="45"/>
      <c r="I105" s="187" cm="1">
        <f t="array" ref="I105">IF(ISBLANK(H105),INDEX('DATA - Variabelen &amp; waarden'!D298:G307,_xlfn.XMATCH(Hennep!F101,'DATA - Variabelen &amp; waarden'!B298:B307),_xlfn.XMATCH(Hennep!G105,'DATA - Variabelen &amp; waarden'!D298:G298)),H105)</f>
        <v>0.83</v>
      </c>
      <c r="J105" s="188" t="s">
        <v>116</v>
      </c>
      <c r="L105" s="76" t="s">
        <v>167</v>
      </c>
      <c r="M105" s="63" t="s">
        <v>112</v>
      </c>
      <c r="N105" s="64" t="s">
        <v>111</v>
      </c>
      <c r="O105" s="103"/>
      <c r="P105" s="56"/>
    </row>
    <row r="106" spans="2:16" ht="16.5" thickTop="1" thickBot="1">
      <c r="F106" s="186" t="s">
        <v>168</v>
      </c>
      <c r="G106" s="173">
        <f>I104*I105</f>
        <v>66.399999999999991</v>
      </c>
      <c r="H106" s="45"/>
      <c r="I106" s="107">
        <f>IF(ISBLANK(H106),G106,H106)</f>
        <v>66.399999999999991</v>
      </c>
      <c r="J106" s="162" t="s">
        <v>88</v>
      </c>
      <c r="L106" s="114" t="s">
        <v>169</v>
      </c>
      <c r="M106" s="73"/>
      <c r="N106" s="45">
        <v>25</v>
      </c>
      <c r="O106" s="73">
        <f>N106</f>
        <v>25</v>
      </c>
      <c r="P106" s="112" t="s">
        <v>170</v>
      </c>
    </row>
    <row r="107" spans="2:16" ht="16.5" thickTop="1" thickBot="1">
      <c r="F107" s="160"/>
      <c r="G107" s="161"/>
      <c r="H107" s="161"/>
      <c r="I107" s="173"/>
      <c r="J107" s="162"/>
      <c r="L107" s="138" t="s">
        <v>171</v>
      </c>
      <c r="M107" s="49" t="s">
        <v>79</v>
      </c>
      <c r="N107" s="45"/>
      <c r="O107" s="137" cm="1">
        <f t="array" ref="O107">IF(ISBLANK(N107),INDEX(ProcesCost01[[#All],[Geen]:[Waarde MIN]],_xlfn.XMATCH(Hennep!L107,ProcesCost01[[#All],[Transportkosten]]),_xlfn.XMATCH(Hennep!M107,ProcesCost01[[#Headers],[Geen]:[Waarde MIN]])),N107)</f>
        <v>0.12</v>
      </c>
      <c r="P107" s="112" t="s">
        <v>172</v>
      </c>
    </row>
    <row r="108" spans="2:16" ht="16.5" thickTop="1" thickBot="1">
      <c r="F108" s="189" t="str">
        <f>_xlfn.CONCAT("Bewaarmethode ",F90)</f>
        <v>Bewaarmethode Hennepstro</v>
      </c>
      <c r="G108" s="103"/>
      <c r="H108" s="103"/>
      <c r="I108" s="43"/>
      <c r="J108" s="176"/>
      <c r="L108" s="125" t="s">
        <v>173</v>
      </c>
      <c r="M108" s="103"/>
      <c r="N108" s="45"/>
      <c r="O108" s="107">
        <f>IF(ISBLANK(N108),IF($O$98&lt;$O$100,O106*O107*O99,0),N108)</f>
        <v>0</v>
      </c>
      <c r="P108" s="56" t="s">
        <v>174</v>
      </c>
    </row>
    <row r="109" spans="2:16" ht="16.5" thickTop="1" thickBot="1">
      <c r="F109" s="178" t="s">
        <v>218</v>
      </c>
      <c r="G109" s="49" t="s">
        <v>79</v>
      </c>
      <c r="H109" s="45"/>
      <c r="I109" s="43" cm="1">
        <f t="array" ref="I109">IF(ISBLANK(H109),INDEX(Stock1[[#All],[Geen]:[Waarde MIN]],_xlfn.XMATCH(Hennep!F109,Stock1[[#All],[Bewaarmethode - Plant/blad &amp; stengelmateriaal]]),_xlfn.XMATCH(Hennep!G109,Stock1[[#Headers],[Geen]:[Waarde MIN]])),H109)</f>
        <v>35</v>
      </c>
      <c r="J109" s="176" t="s">
        <v>176</v>
      </c>
      <c r="L109" s="122"/>
      <c r="M109" s="103"/>
      <c r="N109" s="103"/>
      <c r="O109" s="103"/>
      <c r="P109" s="56"/>
    </row>
    <row r="110" spans="2:16" ht="16.5" thickTop="1" thickBot="1">
      <c r="F110" s="189" t="str">
        <f>Stock11[[#Headers],[Opslag - Plant/blad &amp; stengelmateriaal]]</f>
        <v>Opslag - Plant/blad &amp; stengelmateriaal</v>
      </c>
      <c r="G110" s="103"/>
      <c r="H110" s="103"/>
      <c r="I110" s="43"/>
      <c r="J110" s="176"/>
      <c r="L110" s="114" t="s">
        <v>177</v>
      </c>
      <c r="M110" s="73"/>
      <c r="N110" s="45"/>
      <c r="O110" s="73">
        <f>N110</f>
        <v>0</v>
      </c>
      <c r="P110" s="112" t="s">
        <v>170</v>
      </c>
    </row>
    <row r="111" spans="2:16" ht="16.5" thickTop="1" thickBot="1">
      <c r="F111" s="178" t="s">
        <v>219</v>
      </c>
      <c r="G111" s="49" t="s">
        <v>79</v>
      </c>
      <c r="H111" s="45"/>
      <c r="I111" s="48" cm="1">
        <f t="array" ref="I111">IF(ISBLANK(H111),INDEX(Stock11[[#All],[Geen]:[Waarde MIN]],_xlfn.XMATCH(Hennep!F111,Stock11[[#All],[Opslag - Plant/blad &amp; stengelmateriaal]]),_xlfn.XMATCH(Hennep!G111,Stock11[[#Headers],[Geen]:[Waarde MIN]])),H111)</f>
        <v>12</v>
      </c>
      <c r="J111" s="176" t="s">
        <v>176</v>
      </c>
      <c r="L111" s="138" t="s">
        <v>114</v>
      </c>
      <c r="M111" s="49" t="s">
        <v>79</v>
      </c>
      <c r="N111" s="45"/>
      <c r="O111" s="137" cm="1">
        <f t="array" ref="O111">IF(ISBLANK(N111),INDEX(ProcesCost01[[#All],[Geen]:[Waarde MIN]],_xlfn.XMATCH(Hennep!L111,ProcesCost01[[#All],[Transportkosten]]),_xlfn.XMATCH(Hennep!M111,ProcesCost01[[#Headers],[Geen]:[Waarde MIN]])),N111)</f>
        <v>0</v>
      </c>
      <c r="P111" s="112" t="s">
        <v>172</v>
      </c>
    </row>
    <row r="112" spans="2:16" ht="16.5" thickTop="1" thickBot="1">
      <c r="F112" s="180" t="s">
        <v>179</v>
      </c>
      <c r="G112" s="103"/>
      <c r="H112" s="103"/>
      <c r="I112" s="43"/>
      <c r="J112" s="176"/>
      <c r="L112" s="125" t="s">
        <v>180</v>
      </c>
      <c r="M112" s="103"/>
      <c r="N112" s="45"/>
      <c r="O112" s="107">
        <f>IF(ISBLANK(N112),O110*O111*O101,N112)</f>
        <v>0</v>
      </c>
      <c r="P112" s="56" t="s">
        <v>174</v>
      </c>
    </row>
    <row r="113" spans="6:16" ht="16.5" thickTop="1" thickBot="1">
      <c r="F113" s="178" t="s">
        <v>181</v>
      </c>
      <c r="G113" s="49" t="s">
        <v>79</v>
      </c>
      <c r="H113" s="45"/>
      <c r="I113" s="108" cm="1">
        <f t="array" ref="I113">IF(ISBLANK(H113),INDEX(StockBales[[#All],[Geen]:[Waarde MIN]],_xlfn.XMATCH(F113,StockBales[[#All],[DS inhoud balen ]]),_xlfn.XMATCH(Hennep!G113,StockBales[[#Headers],[Geen]:[Waarde MIN]])),H113)</f>
        <v>299.70000000000005</v>
      </c>
      <c r="J113" s="181" t="s">
        <v>182</v>
      </c>
      <c r="L113" s="122"/>
      <c r="M113" s="103"/>
      <c r="N113" s="103"/>
      <c r="O113" s="103"/>
      <c r="P113" s="56"/>
    </row>
    <row r="114" spans="6:16" ht="16.5" thickTop="1" thickBot="1">
      <c r="F114" s="182" t="s">
        <v>183</v>
      </c>
      <c r="G114" s="103"/>
      <c r="H114" s="103"/>
      <c r="I114" s="107">
        <f>IF(OR(F109='DATA - Variabelen &amp; waarden'!B343,F109='DATA - Variabelen &amp; waarden'!B344,F109='DATA - Variabelen &amp; waarden'!B346),I113/1000*I109,0)</f>
        <v>0</v>
      </c>
      <c r="J114" s="176" t="s">
        <v>184</v>
      </c>
      <c r="L114" s="76" t="s">
        <v>185</v>
      </c>
      <c r="M114" s="63" t="s">
        <v>112</v>
      </c>
      <c r="N114" s="64" t="s">
        <v>111</v>
      </c>
      <c r="O114" s="103"/>
      <c r="P114" s="56"/>
    </row>
    <row r="115" spans="6:16" ht="16.5" thickTop="1" thickBot="1">
      <c r="F115" s="182" t="s">
        <v>186</v>
      </c>
      <c r="G115" s="103"/>
      <c r="H115" s="103"/>
      <c r="I115" s="117">
        <f>IF(OR(F111='DATA - Variabelen &amp; waarden'!B353,F111='DATA - Variabelen &amp; waarden'!B354,F111='DATA - Variabelen &amp; waarden'!B355),Hennep!I113/1000*Hennep!I111,0)</f>
        <v>0</v>
      </c>
      <c r="J115" s="176" t="s">
        <v>184</v>
      </c>
      <c r="L115" s="138" t="s">
        <v>187</v>
      </c>
      <c r="M115" s="49" t="s">
        <v>126</v>
      </c>
      <c r="N115" s="53">
        <v>250</v>
      </c>
      <c r="O115" s="140" cm="1">
        <f t="array" ref="O115">IF(ISBLANK(N115),INDEX(DryingCost1[[#All],[Geen]:[Waarde MIN]],_xlfn.XMATCH(Hennep!L115,DryingCost1[[#All],[Drogen - Kosten]]),_xlfn.XMATCH(Hennep!M115,DryingCost1[[#Headers],[Geen]:[Waarde MIN]])),N115)</f>
        <v>250</v>
      </c>
      <c r="P115" s="112" t="s">
        <v>188</v>
      </c>
    </row>
    <row r="116" spans="6:16" ht="16.5" thickTop="1" thickBot="1">
      <c r="F116" s="168"/>
      <c r="G116" s="103"/>
      <c r="H116" s="103"/>
      <c r="I116" s="43"/>
      <c r="J116" s="176"/>
      <c r="L116" s="124" t="s">
        <v>189</v>
      </c>
      <c r="M116" s="49" t="s">
        <v>79</v>
      </c>
      <c r="N116" s="52"/>
      <c r="O116" s="141" cm="1">
        <f t="array" ref="O116">IF(ISBLANK(N116),INDEX(DryingCost11[[#All],[Geen]:[Waarde MIN]],_xlfn.XMATCH(Hennep!L115,DryingCost11[[#All],[Drogen - Producteffciency]]),_xlfn.XMATCH(Hennep!M116,DryingCost11[[#Headers],[Geen]:[Waarde MIN]])),N116)</f>
        <v>1</v>
      </c>
      <c r="P116" s="112" t="s">
        <v>190</v>
      </c>
    </row>
    <row r="117" spans="6:16" ht="16.5" thickTop="1" thickBot="1">
      <c r="F117" s="189" t="str">
        <f>_xlfn.CONCAT("Oogstkosten ",F91)</f>
        <v>Oogstkosten Aren</v>
      </c>
      <c r="G117" s="63" t="s">
        <v>112</v>
      </c>
      <c r="H117" s="64" t="s">
        <v>111</v>
      </c>
      <c r="I117" s="174">
        <f>SUM(I120,I123)</f>
        <v>0</v>
      </c>
      <c r="J117" s="177" t="s">
        <v>88</v>
      </c>
      <c r="L117" s="139" t="s">
        <v>185</v>
      </c>
      <c r="M117" s="103"/>
      <c r="N117" s="45"/>
      <c r="O117" s="107">
        <f>IF(ISBLANK(N117),O115*O102,N117)</f>
        <v>0</v>
      </c>
      <c r="P117" s="56" t="s">
        <v>174</v>
      </c>
    </row>
    <row r="118" spans="6:16" ht="16.5" thickTop="1" thickBot="1">
      <c r="F118" s="185" t="s">
        <v>114</v>
      </c>
      <c r="G118" s="49" t="s">
        <v>79</v>
      </c>
      <c r="H118" s="45"/>
      <c r="I118" s="187" cm="1">
        <f t="array" ref="I118">IF(ISBLANK(H118),INDEX(HarvestCost2[[#All],[Geen]:[Waarde MIN]],_xlfn.XMATCH(Hennep!F118,HarvestCost2[[#All],[Oogst - tarief - Zaden]]),_xlfn.XMATCH(Hennep!G118,HarvestCost2[[#Headers],[Geen]:[Waarde MIN]])),H118)</f>
        <v>0</v>
      </c>
      <c r="J118" s="181" t="s">
        <v>117</v>
      </c>
      <c r="L118" s="125" t="s">
        <v>191</v>
      </c>
      <c r="M118" s="103"/>
      <c r="N118" s="103"/>
      <c r="O118" s="42">
        <f>O101*O116</f>
        <v>0</v>
      </c>
      <c r="P118" s="56" t="s">
        <v>156</v>
      </c>
    </row>
    <row r="119" spans="6:16" ht="16.5" thickTop="1" thickBot="1">
      <c r="F119" s="191" t="s">
        <v>159</v>
      </c>
      <c r="G119" s="190" t="s">
        <v>79</v>
      </c>
      <c r="H119" s="45"/>
      <c r="I119" s="193" cm="1">
        <f t="array" ref="I119">IF(ISBLANK(H119),INDEX('DATA - Variabelen &amp; waarden'!D323:G329,_xlfn.XMATCH(Hennep!F118,'DATA - Variabelen &amp; waarden'!B323:B329),_xlfn.XMATCH(Hennep!G119,'DATA - Variabelen &amp; waarden'!D323:G323)),H119)</f>
        <v>0</v>
      </c>
      <c r="J119" s="194" t="s">
        <v>116</v>
      </c>
      <c r="L119" s="125" t="s">
        <v>192</v>
      </c>
      <c r="M119" s="103"/>
      <c r="N119" s="103"/>
      <c r="O119" s="42">
        <f>O101-O118</f>
        <v>0</v>
      </c>
      <c r="P119" s="56" t="s">
        <v>156</v>
      </c>
    </row>
    <row r="120" spans="6:16" ht="16.5" thickTop="1" thickBot="1">
      <c r="F120" s="186" t="s">
        <v>162</v>
      </c>
      <c r="G120" s="173">
        <f>I118*I119</f>
        <v>0</v>
      </c>
      <c r="H120" s="45"/>
      <c r="I120" s="107">
        <f>IF(ISBLANK(H120),G120,H120)</f>
        <v>0</v>
      </c>
      <c r="J120" s="162" t="s">
        <v>88</v>
      </c>
      <c r="L120" s="55"/>
      <c r="M120" s="103"/>
      <c r="N120" s="103"/>
      <c r="O120" s="103"/>
      <c r="P120" s="56"/>
    </row>
    <row r="121" spans="6:16" ht="18" customHeight="1" thickTop="1" thickBot="1">
      <c r="F121" s="179" t="str">
        <f>HarvestCost21[[#Headers],[Veld &amp; opslaglogistiek - tarief - Zaden]]</f>
        <v>Veld &amp; opslaglogistiek - tarief - Zaden</v>
      </c>
      <c r="G121" s="49" t="s">
        <v>114</v>
      </c>
      <c r="H121" s="45"/>
      <c r="I121" s="187" cm="1">
        <f t="array" ref="I121">IF(ISBLANK(H121),_xlfn.XLOOKUP(G121,HarvestCost21[[#Headers],[Geen]:[Waarde MIN]],HarvestCost21[[#Totals],[Geen]:[Waarde MIN]]),H121)</f>
        <v>0</v>
      </c>
      <c r="J121" s="188" t="s">
        <v>117</v>
      </c>
      <c r="L121" s="123" t="s">
        <v>80</v>
      </c>
      <c r="M121" s="103"/>
      <c r="N121" s="103"/>
      <c r="O121" s="103"/>
      <c r="P121" s="56"/>
    </row>
    <row r="122" spans="6:16" ht="16.5" thickTop="1" thickBot="1">
      <c r="F122" s="179" t="s">
        <v>166</v>
      </c>
      <c r="G122" s="49" t="s">
        <v>114</v>
      </c>
      <c r="H122" s="45"/>
      <c r="I122" s="192" cm="1">
        <f t="array" ref="I122">IF(ISBLANK(H122),INDEX('DATA - Variabelen &amp; waarden'!D323:G329,_xlfn.XMATCH(Hennep!F118,'DATA - Variabelen &amp; waarden'!B323:B329),_xlfn.XMATCH(Hennep!G122,'DATA - Variabelen &amp; waarden'!D323:G323)),H122)</f>
        <v>0</v>
      </c>
      <c r="J122" s="188" t="s">
        <v>116</v>
      </c>
      <c r="L122" s="122" t="s">
        <v>193</v>
      </c>
      <c r="M122" s="103"/>
      <c r="N122" s="103"/>
      <c r="O122" s="42">
        <f>O108</f>
        <v>0</v>
      </c>
      <c r="P122" s="56" t="s">
        <v>194</v>
      </c>
    </row>
    <row r="123" spans="6:16" ht="16" thickTop="1">
      <c r="F123" s="186" t="s">
        <v>168</v>
      </c>
      <c r="G123" s="183">
        <f>I121*I122</f>
        <v>0</v>
      </c>
      <c r="H123" s="45"/>
      <c r="I123" s="107">
        <f>IF(ISBLANK(H123),G123,H123)</f>
        <v>0</v>
      </c>
      <c r="J123" s="162" t="s">
        <v>88</v>
      </c>
      <c r="L123" s="122" t="s">
        <v>195</v>
      </c>
      <c r="M123" s="103"/>
      <c r="N123" s="103"/>
      <c r="O123" s="42">
        <f>O112</f>
        <v>0</v>
      </c>
      <c r="P123" s="56" t="s">
        <v>194</v>
      </c>
    </row>
    <row r="124" spans="6:16">
      <c r="F124" s="160"/>
      <c r="G124" s="161"/>
      <c r="H124" s="161"/>
      <c r="I124" s="161"/>
      <c r="J124" s="162"/>
      <c r="L124" s="55" t="s">
        <v>185</v>
      </c>
      <c r="M124" s="103"/>
      <c r="N124" s="103"/>
      <c r="O124" s="42">
        <f>O117</f>
        <v>0</v>
      </c>
      <c r="P124" s="56" t="s">
        <v>194</v>
      </c>
    </row>
    <row r="125" spans="6:16" ht="19" thickBot="1">
      <c r="F125" s="189" t="str">
        <f>_xlfn.CONCAT("Bewaarmethode ",F91)</f>
        <v>Bewaarmethode Aren</v>
      </c>
      <c r="G125" s="103"/>
      <c r="H125" s="103"/>
      <c r="I125" s="173"/>
      <c r="J125" s="176"/>
      <c r="L125" s="131" t="s">
        <v>196</v>
      </c>
      <c r="M125" s="103"/>
      <c r="N125" s="103"/>
      <c r="O125" s="136">
        <f>O119*O103</f>
        <v>0</v>
      </c>
      <c r="P125" s="56" t="s">
        <v>194</v>
      </c>
    </row>
    <row r="126" spans="6:16" ht="16.5" thickTop="1" thickBot="1">
      <c r="F126" s="178" t="s">
        <v>197</v>
      </c>
      <c r="G126" s="49" t="s">
        <v>126</v>
      </c>
      <c r="H126" s="45"/>
      <c r="I126" s="43" cm="1">
        <f t="array" ref="I126">IF(ISBLANK(H126),INDEX(Stock1[[Geen]:[Waarde MIN]],_xlfn.XMATCH(Hennep!F126,Stock1[Bewaarmethode - Plant/blad &amp; stengelmateriaal]),_xlfn.XMATCH(Hennep!G126,Stock1[[#Headers],[Geen]:[Waarde MIN]])),H126)</f>
        <v>50</v>
      </c>
      <c r="J126" s="176" t="s">
        <v>176</v>
      </c>
      <c r="L126" s="143" t="s">
        <v>198</v>
      </c>
      <c r="M126" s="44"/>
      <c r="N126" s="44"/>
      <c r="O126" s="46">
        <f>SUM(O122:O125)</f>
        <v>0</v>
      </c>
      <c r="P126" s="111" t="s">
        <v>199</v>
      </c>
    </row>
    <row r="127" spans="6:16" ht="16.5" thickTop="1" thickBot="1">
      <c r="F127" s="189" t="str">
        <f>Stock21[[#Headers],[Opslag - Zaden]]</f>
        <v>Opslag - Zaden</v>
      </c>
      <c r="G127" s="103"/>
      <c r="H127" s="103"/>
      <c r="I127" s="43"/>
      <c r="J127" s="176"/>
      <c r="L127" s="125" t="s">
        <v>200</v>
      </c>
      <c r="M127" s="103"/>
      <c r="N127" s="103"/>
      <c r="O127" s="107">
        <f>IFERROR(O126/O118,0)</f>
        <v>0</v>
      </c>
      <c r="P127" s="56" t="s">
        <v>164</v>
      </c>
    </row>
    <row r="128" spans="6:16" ht="16.5" thickTop="1" thickBot="1">
      <c r="F128" s="178" t="s">
        <v>201</v>
      </c>
      <c r="G128" s="49" t="s">
        <v>79</v>
      </c>
      <c r="H128" s="45"/>
      <c r="I128" s="48" cm="1">
        <f t="array" ref="I128">IF(ISBLANK(H128),INDEX(Stock21[[#All],[Geen]:[Waarde MIN]],_xlfn.XMATCH(Hennep!F128,Stock21[[#All],[Opslag - Zaden]]),_xlfn.XMATCH(Hennep!G128,Stock21[[#Headers],[Geen]:[Waarde MIN]])),H128)</f>
        <v>8</v>
      </c>
      <c r="J128" s="176" t="s">
        <v>176</v>
      </c>
      <c r="L128" s="55"/>
      <c r="M128" s="103"/>
      <c r="N128" s="103"/>
      <c r="O128" s="103"/>
      <c r="P128" s="56"/>
    </row>
    <row r="129" spans="2:16" ht="16.5" thickTop="1" thickBot="1">
      <c r="F129" s="184" t="s">
        <v>202</v>
      </c>
      <c r="G129" s="103"/>
      <c r="H129" s="103"/>
      <c r="I129" s="43"/>
      <c r="J129" s="176"/>
      <c r="L129" s="55"/>
      <c r="M129" s="103"/>
      <c r="N129" s="103"/>
      <c r="O129" s="103"/>
      <c r="P129" s="56"/>
    </row>
    <row r="130" spans="2:16" ht="16.5" thickTop="1" thickBot="1">
      <c r="F130" s="178" t="s">
        <v>203</v>
      </c>
      <c r="G130" s="49" t="s">
        <v>129</v>
      </c>
      <c r="H130" s="45"/>
      <c r="I130" s="108" cm="1">
        <f t="array" ref="I130">IF(ISBLANK(H130),INDEX(StockPluis[[#All],[Geen]:[Waarde MIN]],_xlfn.XMATCH(Hennep!F130,StockPluis[[#All],[DS inhoud big bag]]),_xlfn.XMATCH(Hennep!G130,StockPluis[[#Headers],[Geen]:[Waarde MIN]])),H130)</f>
        <v>1000</v>
      </c>
      <c r="J130" s="181" t="s">
        <v>204</v>
      </c>
      <c r="L130" s="55"/>
      <c r="M130" s="103"/>
      <c r="N130" s="103"/>
      <c r="O130" s="103"/>
      <c r="P130" s="56"/>
    </row>
    <row r="131" spans="2:16" ht="16" thickTop="1">
      <c r="F131" s="182" t="s">
        <v>205</v>
      </c>
      <c r="G131" s="103"/>
      <c r="H131" s="103"/>
      <c r="I131" s="107">
        <f>IF(F126='DATA - Variabelen &amp; waarden'!B368,I130/1000*I126,0)</f>
        <v>50</v>
      </c>
      <c r="J131" s="176" t="s">
        <v>206</v>
      </c>
      <c r="L131" s="55"/>
      <c r="M131" s="103"/>
      <c r="N131" s="103"/>
      <c r="O131" s="103"/>
      <c r="P131" s="56"/>
    </row>
    <row r="132" spans="2:16">
      <c r="F132" s="182" t="s">
        <v>207</v>
      </c>
      <c r="G132" s="103"/>
      <c r="H132" s="103"/>
      <c r="I132" s="117">
        <f>IF(F128='DATA - Variabelen &amp; waarden'!B380,Hennep!I130/1000*Hennep!I128,0)</f>
        <v>8</v>
      </c>
      <c r="J132" s="176" t="s">
        <v>206</v>
      </c>
      <c r="L132" s="55"/>
      <c r="M132" s="103"/>
      <c r="N132" s="103"/>
      <c r="O132" s="103"/>
      <c r="P132" s="56"/>
    </row>
    <row r="133" spans="2:16">
      <c r="F133" s="57"/>
      <c r="G133" s="104"/>
      <c r="H133" s="104"/>
      <c r="I133" s="104"/>
      <c r="J133" s="58"/>
      <c r="L133" s="57"/>
      <c r="M133" s="104"/>
      <c r="N133" s="104"/>
      <c r="O133" s="104"/>
      <c r="P133" s="58"/>
    </row>
    <row r="134" spans="2:16" s="202" customFormat="1">
      <c r="B134" s="204"/>
      <c r="C134" s="204"/>
    </row>
    <row r="135" spans="2:16" s="202" customFormat="1"/>
    <row r="136" spans="2:16" s="202" customFormat="1">
      <c r="B136" s="206"/>
    </row>
    <row r="137" spans="2:16" s="202" customFormat="1">
      <c r="B137" s="205"/>
    </row>
    <row r="138" spans="2:16" s="202" customFormat="1"/>
    <row r="139" spans="2:16" s="202" customFormat="1">
      <c r="B139" s="204"/>
      <c r="I139" s="203"/>
    </row>
    <row r="140" spans="2:16" s="202" customFormat="1">
      <c r="I140" s="203"/>
    </row>
    <row r="141" spans="2:16" s="202" customFormat="1">
      <c r="I141" s="203"/>
    </row>
    <row r="142" spans="2:16">
      <c r="B142" s="39"/>
    </row>
    <row r="145" spans="2:3">
      <c r="B145" s="39"/>
      <c r="C145" s="39"/>
    </row>
  </sheetData>
  <mergeCells count="5">
    <mergeCell ref="C42:D42"/>
    <mergeCell ref="C51:D51"/>
    <mergeCell ref="C90:D90"/>
    <mergeCell ref="C94:D94"/>
    <mergeCell ref="C98:D98"/>
  </mergeCells>
  <conditionalFormatting sqref="F71:J74 G79:J79">
    <cfRule type="expression" dxfId="457" priority="2">
      <formula>$F$67="Zaaien"</formula>
    </cfRule>
  </conditionalFormatting>
  <conditionalFormatting sqref="F78:J78">
    <cfRule type="expression" dxfId="456" priority="4">
      <formula>$F$67="Zaaien"</formula>
    </cfRule>
  </conditionalFormatting>
  <conditionalFormatting sqref="F75:J77">
    <cfRule type="expression" dxfId="455" priority="3">
      <formula>$F$67="Planten"</formula>
    </cfRule>
  </conditionalFormatting>
  <conditionalFormatting sqref="F79">
    <cfRule type="expression" dxfId="454" priority="1">
      <formula>$F$67="Planten"</formula>
    </cfRule>
  </conditionalFormatting>
  <conditionalFormatting sqref="L93 F133:J133 L133:P133">
    <cfRule type="expression" dxfId="453" priority="5">
      <formula>$M$89="Nee"</formula>
    </cfRule>
  </conditionalFormatting>
  <dataValidations count="1">
    <dataValidation type="list" allowBlank="1" showInputMessage="1" showErrorMessage="1" sqref="M94" xr:uid="{63052936-2D6E-BE4A-965A-92CDCC1BD4C2}">
      <formula1>$B$91:$B$92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02053BBB-51C3-8748-BCB7-120EE91810B0}">
          <x14:formula1>
            <xm:f>'DATA - Variabelen &amp; waarden'!$B$376:$B$380</xm:f>
          </x14:formula1>
          <xm:sqref>F128</xm:sqref>
        </x14:dataValidation>
        <x14:dataValidation type="list" allowBlank="1" showInputMessage="1" showErrorMessage="1" xr:uid="{6BD161AC-347F-E34E-BD61-69B160AF4585}">
          <x14:formula1>
            <xm:f>'DATA - Variabelen &amp; waarden'!$B$364:$B$368</xm:f>
          </x14:formula1>
          <xm:sqref>F126</xm:sqref>
        </x14:dataValidation>
        <x14:dataValidation type="list" allowBlank="1" showInputMessage="1" showErrorMessage="1" xr:uid="{3FF8DFCD-176B-B94F-A545-F1E4CDEB0508}">
          <x14:formula1>
            <xm:f>'DATA - Variabelen &amp; waarden'!$D$323:$G$323</xm:f>
          </x14:formula1>
          <xm:sqref>G119 G122</xm:sqref>
        </x14:dataValidation>
        <x14:dataValidation type="list" allowBlank="1" showInputMessage="1" showErrorMessage="1" xr:uid="{D4C363A8-0100-0B42-B166-74351D0F1CB2}">
          <x14:formula1>
            <xm:f>'DATA - Variabelen &amp; waarden'!$D$298:$G$298</xm:f>
          </x14:formula1>
          <xm:sqref>G102 G105</xm:sqref>
        </x14:dataValidation>
        <x14:dataValidation type="list" allowBlank="1" showInputMessage="1" showErrorMessage="1" xr:uid="{F0394508-410E-694E-BC37-D8EFB04B7FA4}">
          <x14:formula1>
            <xm:f>'DATA - Variabelen &amp; waarden'!$D$414:$G$414</xm:f>
          </x14:formula1>
          <xm:sqref>M103</xm:sqref>
        </x14:dataValidation>
        <x14:dataValidation type="list" allowBlank="1" showInputMessage="1" showErrorMessage="1" xr:uid="{0D1AA447-060F-E34A-85A5-5EDDA3ADA63E}">
          <x14:formula1>
            <xm:f>'DATA - Variabelen &amp; waarden'!$B$341:$B$346</xm:f>
          </x14:formula1>
          <xm:sqref>F109</xm:sqref>
        </x14:dataValidation>
        <x14:dataValidation type="list" allowBlank="1" showInputMessage="1" showErrorMessage="1" xr:uid="{2AAB358D-DD04-1943-860D-4EB71050DD33}">
          <x14:formula1>
            <xm:f>'DATA - Variabelen &amp; waarden'!$B$393:$B$394</xm:f>
          </x14:formula1>
          <xm:sqref>M89</xm:sqref>
        </x14:dataValidation>
        <x14:dataValidation type="list" allowBlank="1" showInputMessage="1" showErrorMessage="1" xr:uid="{324CA625-196E-2C44-9D5C-A6D5C70159EC}">
          <x14:formula1>
            <xm:f>'DATA - Variabelen &amp; waarden'!$D$382:$G$382</xm:f>
          </x14:formula1>
          <xm:sqref>M100</xm:sqref>
        </x14:dataValidation>
        <x14:dataValidation type="list" allowBlank="1" showInputMessage="1" showErrorMessage="1" xr:uid="{1B9A9EAC-3FBB-2446-A48E-2A2C04F592EC}">
          <x14:formula1>
            <xm:f>'DATA - Variabelen &amp; waarden'!$D$370:$G$370</xm:f>
          </x14:formula1>
          <xm:sqref>G130</xm:sqref>
        </x14:dataValidation>
        <x14:dataValidation type="list" allowBlank="1" showInputMessage="1" showErrorMessage="1" xr:uid="{7FAD6B17-0816-E947-82DE-F3E31F82400C}">
          <x14:formula1>
            <xm:f>'DATA - Variabelen &amp; waarden'!$B$371:$B$373</xm:f>
          </x14:formula1>
          <xm:sqref>F130</xm:sqref>
        </x14:dataValidation>
        <x14:dataValidation type="list" allowBlank="1" showInputMessage="1" showErrorMessage="1" xr:uid="{FBDB30D0-2362-9146-B615-DCF9D4080A9D}">
          <x14:formula1>
            <xm:f>'DATA - Variabelen &amp; waarden'!$D$357:$G$357</xm:f>
          </x14:formula1>
          <xm:sqref>G113</xm:sqref>
        </x14:dataValidation>
        <x14:dataValidation type="list" allowBlank="1" showInputMessage="1" showErrorMessage="1" xr:uid="{26E0F18B-6AE6-174B-BDFE-0A619B8E3EFA}">
          <x14:formula1>
            <xm:f>'DATA - Variabelen &amp; waarden'!$B$358:$B$361</xm:f>
          </x14:formula1>
          <xm:sqref>F113</xm:sqref>
        </x14:dataValidation>
        <x14:dataValidation type="list" allowBlank="1" showInputMessage="1" showErrorMessage="1" xr:uid="{B8E01A71-C64C-4F40-8B01-D3DE56340670}">
          <x14:formula1>
            <xm:f>'DATA - Variabelen &amp; waarden'!$B$349:$B$355</xm:f>
          </x14:formula1>
          <xm:sqref>F111</xm:sqref>
        </x14:dataValidation>
        <x14:dataValidation type="list" allowBlank="1" showInputMessage="1" showErrorMessage="1" xr:uid="{C1BF6109-E156-0A4E-8BAE-E14D15499EEA}">
          <x14:formula1>
            <xm:f>'DATA - Variabelen &amp; waarden'!$D$348:$G$348</xm:f>
          </x14:formula1>
          <xm:sqref>G111</xm:sqref>
        </x14:dataValidation>
        <x14:dataValidation type="list" allowBlank="1" showInputMessage="1" showErrorMessage="1" xr:uid="{FBD2BBFA-C6EA-0A42-A05E-1EFA04009306}">
          <x14:formula1>
            <xm:f>'DATA - Variabelen &amp; waarden'!$D$340:$G$340</xm:f>
          </x14:formula1>
          <xm:sqref>G109</xm:sqref>
        </x14:dataValidation>
        <x14:dataValidation type="list" allowBlank="1" showInputMessage="1" showErrorMessage="1" xr:uid="{D90503F1-DEB9-1944-96B7-4D7239D91AE4}">
          <x14:formula1>
            <xm:f>'DATA - Variabelen &amp; waarden'!$D$22:$G$22</xm:f>
          </x14:formula1>
          <xm:sqref>G46:G47 G49:G50 G58:G62 G52:G53 G55:G56</xm:sqref>
        </x14:dataValidation>
        <x14:dataValidation type="list" allowBlank="1" showInputMessage="1" showErrorMessage="1" xr:uid="{C4701F46-31B3-5643-A478-1DCB07D24A14}">
          <x14:formula1>
            <xm:f>'DATA - Variabelen &amp; waarden'!$D$45:$G$45</xm:f>
          </x14:formula1>
          <xm:sqref>G69:G73 G75 G79 G77</xm:sqref>
        </x14:dataValidation>
        <x14:dataValidation type="list" allowBlank="1" showInputMessage="1" showErrorMessage="1" xr:uid="{03C15B21-F811-8D42-B039-788234397979}">
          <x14:formula1>
            <xm:f>'DATA - Variabelen &amp; waarden'!$D$56:$G$56</xm:f>
          </x14:formula1>
          <xm:sqref>M51:M54 M56:M57 M43:M46 M48:M49</xm:sqref>
        </x14:dataValidation>
        <x14:dataValidation type="list" allowBlank="1" showInputMessage="1" showErrorMessage="1" xr:uid="{0EE242D7-86B4-C340-B1D6-D604BC30EC48}">
          <x14:formula1>
            <xm:f>'DATA - Variabelen &amp; waarden'!$D$74:$G$74</xm:f>
          </x14:formula1>
          <xm:sqref>M61:M63</xm:sqref>
        </x14:dataValidation>
        <x14:dataValidation type="list" allowBlank="1" showInputMessage="1" showErrorMessage="1" xr:uid="{804C403F-07EA-CB4F-8381-823DFA98A8CD}">
          <x14:formula1>
            <xm:f>'DATA - Variabelen &amp; waarden'!$D$79:$G$79</xm:f>
          </x14:formula1>
          <xm:sqref>M66:M67</xm:sqref>
        </x14:dataValidation>
        <x14:dataValidation type="list" allowBlank="1" showInputMessage="1" showErrorMessage="1" xr:uid="{5A4C951F-164B-D34E-910A-A55ACAD5919E}">
          <x14:formula1>
            <xm:f>'DATA - Variabelen &amp; waarden'!$D$83:$G$83</xm:f>
          </x14:formula1>
          <xm:sqref>M70:M76</xm:sqref>
        </x14:dataValidation>
        <x14:dataValidation type="list" allowBlank="1" showInputMessage="1" showErrorMessage="1" xr:uid="{262C4025-2ABA-2448-B688-4CE801540C24}">
          <x14:formula1>
            <xm:f>'DATA - Variabelen &amp; waarden'!$D$92:$G$92</xm:f>
          </x14:formula1>
          <xm:sqref>M79:M80 M82</xm:sqref>
        </x14:dataValidation>
        <x14:dataValidation type="list" allowBlank="1" showInputMessage="1" showErrorMessage="1" xr:uid="{937222F2-86C2-9B46-9AA3-0EF318A04FEB}">
          <x14:formula1>
            <xm:f>'DATA - Variabelen &amp; waarden'!$B$288:$B$296</xm:f>
          </x14:formula1>
          <xm:sqref>F101</xm:sqref>
        </x14:dataValidation>
        <x14:dataValidation type="list" allowBlank="1" showInputMessage="1" showErrorMessage="1" xr:uid="{815D9F8A-F683-9D4B-A81D-6A805DF6DF37}">
          <x14:formula1>
            <xm:f>'DATA - Variabelen &amp; waarden'!$D$187:$G$187</xm:f>
          </x14:formula1>
          <xm:sqref>G90:G91 M91:M92 G94:G95</xm:sqref>
        </x14:dataValidation>
        <x14:dataValidation type="list" allowBlank="1" showInputMessage="1" showErrorMessage="1" xr:uid="{6EC819C7-1CC4-364B-A5AD-50883991802E}">
          <x14:formula1>
            <xm:f>'DATA - Variabelen &amp; waarden'!$D$287:$G$287</xm:f>
          </x14:formula1>
          <xm:sqref>G101</xm:sqref>
        </x14:dataValidation>
        <x14:dataValidation type="list" allowBlank="1" showInputMessage="1" showErrorMessage="1" xr:uid="{9BFA2064-EBE2-DB4B-927E-163C3ADAFC86}">
          <x14:formula1>
            <xm:f>'DATA - Variabelen &amp; waarden'!$D$309:$G$309</xm:f>
          </x14:formula1>
          <xm:sqref>G104</xm:sqref>
        </x14:dataValidation>
        <x14:dataValidation type="list" allowBlank="1" showInputMessage="1" showErrorMessage="1" xr:uid="{C51968E9-209D-B841-A9B0-E3C540161B0A}">
          <x14:formula1>
            <xm:f>'DATA - Variabelen &amp; waarden'!$B$316:$B$321</xm:f>
          </x14:formula1>
          <xm:sqref>F118</xm:sqref>
        </x14:dataValidation>
        <x14:dataValidation type="list" allowBlank="1" showInputMessage="1" showErrorMessage="1" xr:uid="{42903022-1436-4C43-A54F-E4BEBCEF7FA5}">
          <x14:formula1>
            <xm:f>'DATA - Variabelen &amp; waarden'!$D$315:$G$315</xm:f>
          </x14:formula1>
          <xm:sqref>G118</xm:sqref>
        </x14:dataValidation>
        <x14:dataValidation type="list" allowBlank="1" showInputMessage="1" showErrorMessage="1" xr:uid="{57B704E0-4A37-3642-BEB2-9A5A1427551A}">
          <x14:formula1>
            <xm:f>'DATA - Variabelen &amp; waarden'!$D$331:$G$331</xm:f>
          </x14:formula1>
          <xm:sqref>G121</xm:sqref>
        </x14:dataValidation>
        <x14:dataValidation type="list" allowBlank="1" showInputMessage="1" showErrorMessage="1" xr:uid="{2EED8286-A4CE-0646-80AB-042E6A21BA25}">
          <x14:formula1>
            <xm:f>'DATA - Variabelen &amp; waarden'!$D$363:$G$363</xm:f>
          </x14:formula1>
          <xm:sqref>G126</xm:sqref>
        </x14:dataValidation>
        <x14:dataValidation type="list" allowBlank="1" showInputMessage="1" showErrorMessage="1" xr:uid="{9E0ED505-0164-B742-86C8-D527F1A25F86}">
          <x14:formula1>
            <xm:f>'DATA - Variabelen &amp; waarden'!$D$375:$G$375</xm:f>
          </x14:formula1>
          <xm:sqref>G128</xm:sqref>
        </x14:dataValidation>
        <x14:dataValidation type="list" allowBlank="1" showInputMessage="1" showErrorMessage="1" xr:uid="{A5BE3631-6545-2041-A43E-9287E686F479}">
          <x14:formula1>
            <xm:f>'DATA - Variabelen &amp; waarden'!$D$405:$G$405</xm:f>
          </x14:formula1>
          <xm:sqref>M116</xm:sqref>
        </x14:dataValidation>
        <x14:dataValidation type="list" allowBlank="1" showInputMessage="1" showErrorMessage="1" xr:uid="{FA5FAC80-B2BF-FF42-9D7F-6F7FE6705E26}">
          <x14:formula1>
            <xm:f>'DATA - Variabelen &amp; waarden'!$D$396:$G$396</xm:f>
          </x14:formula1>
          <xm:sqref>M115</xm:sqref>
        </x14:dataValidation>
        <x14:dataValidation type="list" allowBlank="1" showInputMessage="1" showErrorMessage="1" xr:uid="{EB995211-2B5B-4345-BE3F-69D6B09196EA}">
          <x14:formula1>
            <xm:f>'DATA - Variabelen &amp; waarden'!$B$397:$B$403</xm:f>
          </x14:formula1>
          <xm:sqref>L115</xm:sqref>
        </x14:dataValidation>
        <x14:dataValidation type="list" allowBlank="1" showInputMessage="1" showErrorMessage="1" xr:uid="{1A0D5403-DB23-9C47-8115-0C429175DCC5}">
          <x14:formula1>
            <xm:f>'DATA - Variabelen &amp; waarden'!$D$387:$G$387</xm:f>
          </x14:formula1>
          <xm:sqref>M111 M107</xm:sqref>
        </x14:dataValidation>
        <x14:dataValidation type="list" allowBlank="1" showInputMessage="1" showErrorMessage="1" xr:uid="{43D25A41-0DE9-6E4D-859E-24FDA161A801}">
          <x14:formula1>
            <xm:f>'DATA - Variabelen &amp; waarden'!$B$388:$B$390</xm:f>
          </x14:formula1>
          <xm:sqref>L111 L107</xm:sqref>
        </x14:dataValidation>
        <x14:dataValidation type="list" allowBlank="1" showInputMessage="1" showErrorMessage="1" xr:uid="{DF8474BC-63B7-4F4A-8444-EF3E4880F6CB}">
          <x14:formula1>
            <xm:f>'DATA - Variabelen &amp; waarden'!$B$42:$B$43</xm:f>
          </x14:formula1>
          <xm:sqref>F67</xm:sqref>
        </x14:dataValidation>
        <x14:dataValidation type="list" allowBlank="1" showInputMessage="1" showErrorMessage="1" xr:uid="{04B4C02F-5542-CC4C-B4EA-F27BD1B83FF0}">
          <x14:formula1>
            <xm:f>'DATA - Variabelen &amp; waarden'!$B$106:$B$112</xm:f>
          </x14:formula1>
          <xm:sqref>F65</xm:sqref>
        </x14:dataValidation>
        <x14:dataValidation type="list" allowBlank="1" showInputMessage="1" showErrorMessage="1" xr:uid="{E5376F47-E23F-024F-A309-839F0F8AB2E1}">
          <x14:formula1>
            <xm:f>'DATA - Variabelen &amp; waarden'!$B$7:$B$20</xm:f>
          </x14:formula1>
          <xm:sqref>F43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B3E3-5C7B-4BC2-9532-CCFA9218C77D}">
  <sheetPr>
    <tabColor theme="7" tint="0.39997558519241921"/>
  </sheetPr>
  <dimension ref="B1:Z145"/>
  <sheetViews>
    <sheetView showGridLines="0" zoomScaleNormal="100" workbookViewId="0">
      <pane ySplit="2" topLeftCell="A51" activePane="bottomLeft" state="frozen"/>
      <selection pane="bottomLeft" activeCell="F65" sqref="F65"/>
    </sheetView>
  </sheetViews>
  <sheetFormatPr defaultColWidth="11" defaultRowHeight="15.5"/>
  <cols>
    <col min="1" max="1" width="3" customWidth="1"/>
    <col min="2" max="2" width="35.9140625" customWidth="1"/>
    <col min="3" max="3" width="13.4140625" customWidth="1"/>
    <col min="4" max="4" width="10.9140625" customWidth="1"/>
    <col min="5" max="5" width="3" customWidth="1"/>
    <col min="6" max="6" width="34.9140625" customWidth="1"/>
    <col min="7" max="7" width="13.4140625" customWidth="1"/>
    <col min="8" max="8" width="10.9140625" customWidth="1"/>
    <col min="9" max="9" width="10.9140625" style="3" customWidth="1"/>
    <col min="10" max="10" width="10.9140625" customWidth="1"/>
    <col min="11" max="11" width="3" customWidth="1"/>
    <col min="12" max="12" width="32.9140625" customWidth="1"/>
    <col min="13" max="13" width="13.4140625" customWidth="1"/>
    <col min="14" max="14" width="12.58203125" customWidth="1"/>
    <col min="15" max="15" width="13.4140625" customWidth="1"/>
    <col min="16" max="16" width="10.9140625" customWidth="1"/>
    <col min="17" max="17" width="3" customWidth="1"/>
    <col min="18" max="18" width="12.58203125" customWidth="1"/>
    <col min="19" max="19" width="13.4140625" customWidth="1"/>
    <col min="20" max="20" width="10.9140625" customWidth="1"/>
    <col min="21" max="21" width="3" customWidth="1"/>
    <col min="22" max="22" width="32.9140625" customWidth="1"/>
    <col min="23" max="23" width="13.4140625" customWidth="1"/>
    <col min="24" max="24" width="12.58203125" customWidth="1"/>
    <col min="25" max="25" width="13.4140625" customWidth="1"/>
    <col min="27" max="27" width="3" customWidth="1"/>
    <col min="28" max="28" width="32.9140625" customWidth="1"/>
    <col min="29" max="29" width="13.4140625" customWidth="1"/>
    <col min="30" max="30" width="12.58203125" customWidth="1"/>
    <col min="31" max="31" width="13.4140625" customWidth="1"/>
    <col min="32" max="32" width="10.9140625" customWidth="1"/>
    <col min="33" max="33" width="3" customWidth="1"/>
    <col min="34" max="34" width="13.4140625" customWidth="1"/>
    <col min="39" max="39" width="10.9140625" customWidth="1"/>
    <col min="40" max="40" width="3" customWidth="1"/>
    <col min="41" max="42" width="28.9140625" customWidth="1"/>
    <col min="43" max="43" width="13.4140625" customWidth="1"/>
  </cols>
  <sheetData>
    <row r="1" spans="2:26">
      <c r="D1" s="35"/>
      <c r="I1"/>
    </row>
    <row r="2" spans="2:26" ht="18.5">
      <c r="B2" s="66" t="s">
        <v>85</v>
      </c>
      <c r="C2" s="69"/>
      <c r="D2" s="70"/>
      <c r="E2" s="69"/>
      <c r="F2" s="71"/>
      <c r="G2" s="69"/>
      <c r="H2" s="69"/>
      <c r="I2" s="71"/>
      <c r="J2" s="69"/>
      <c r="K2" s="69"/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2:26">
      <c r="D3" s="72"/>
      <c r="F3" s="4"/>
      <c r="I3" s="4"/>
      <c r="L3" s="4"/>
    </row>
    <row r="4" spans="2:26">
      <c r="B4" s="61" t="s">
        <v>86</v>
      </c>
      <c r="C4" s="218"/>
      <c r="D4" s="60"/>
      <c r="F4" s="4"/>
      <c r="I4" s="4"/>
      <c r="L4" s="4"/>
    </row>
    <row r="5" spans="2:26">
      <c r="B5" s="81"/>
      <c r="C5" s="226"/>
      <c r="D5" s="56"/>
      <c r="F5" s="4"/>
      <c r="I5" s="4"/>
      <c r="L5" s="4"/>
    </row>
    <row r="6" spans="2:26">
      <c r="B6" s="230" t="s">
        <v>87</v>
      </c>
      <c r="C6" s="228">
        <f>SUM(C7,C10)</f>
        <v>2332.91</v>
      </c>
      <c r="D6" s="56" t="s">
        <v>88</v>
      </c>
      <c r="F6" s="4"/>
      <c r="I6" s="4"/>
      <c r="L6" s="4"/>
    </row>
    <row r="7" spans="2:26">
      <c r="B7" s="76" t="s">
        <v>89</v>
      </c>
      <c r="C7" s="46">
        <f>SUM(C8:C9)</f>
        <v>2070</v>
      </c>
      <c r="D7" s="56"/>
      <c r="F7" s="4"/>
      <c r="I7" s="4"/>
      <c r="L7" s="4"/>
    </row>
    <row r="8" spans="2:26">
      <c r="B8" s="231" t="str">
        <f>B95</f>
        <v>Gehele plant</v>
      </c>
      <c r="C8" s="42">
        <f>C95</f>
        <v>2070</v>
      </c>
      <c r="D8" s="56"/>
      <c r="F8" s="4"/>
      <c r="I8" s="4"/>
      <c r="L8" s="4"/>
    </row>
    <row r="9" spans="2:26">
      <c r="B9" s="231" t="str">
        <f>B96</f>
        <v>Opbrengst 2</v>
      </c>
      <c r="C9" s="42">
        <f>C96</f>
        <v>0</v>
      </c>
      <c r="D9" s="56"/>
      <c r="F9" s="4"/>
      <c r="I9" s="4"/>
      <c r="L9" s="4"/>
    </row>
    <row r="10" spans="2:26">
      <c r="B10" s="143" t="s">
        <v>90</v>
      </c>
      <c r="C10" s="46">
        <f>SUM(C11:C12)</f>
        <v>262.91000000000003</v>
      </c>
      <c r="D10" s="56" t="s">
        <v>88</v>
      </c>
      <c r="F10" s="4"/>
      <c r="I10" s="4"/>
      <c r="L10" s="4"/>
    </row>
    <row r="11" spans="2:26">
      <c r="B11" s="231" t="s">
        <v>91</v>
      </c>
      <c r="C11" s="227">
        <v>262.91000000000003</v>
      </c>
      <c r="D11" s="56"/>
      <c r="F11" s="4"/>
      <c r="I11" s="4"/>
      <c r="L11" s="4"/>
    </row>
    <row r="12" spans="2:26">
      <c r="B12" s="231" t="s">
        <v>92</v>
      </c>
      <c r="C12" s="126"/>
      <c r="D12" s="56"/>
      <c r="F12" s="4"/>
      <c r="I12" s="4"/>
      <c r="L12" s="4"/>
    </row>
    <row r="13" spans="2:26">
      <c r="B13" s="81"/>
      <c r="C13" s="226"/>
      <c r="D13" s="56"/>
      <c r="F13" s="4"/>
      <c r="I13" s="4"/>
      <c r="L13" s="4"/>
    </row>
    <row r="14" spans="2:26">
      <c r="B14" s="230" t="s">
        <v>81</v>
      </c>
      <c r="C14" s="228">
        <f>SUM(C15:C20)</f>
        <v>1657.15</v>
      </c>
      <c r="D14" s="56" t="s">
        <v>88</v>
      </c>
      <c r="F14" s="4"/>
      <c r="I14" s="4"/>
      <c r="L14" s="4"/>
    </row>
    <row r="15" spans="2:26">
      <c r="B15" s="231" t="str">
        <f t="shared" ref="B15:C19" si="0">B43</f>
        <v>Grondgebruik</v>
      </c>
      <c r="C15" s="43">
        <f t="shared" si="0"/>
        <v>486</v>
      </c>
      <c r="D15" s="111"/>
      <c r="F15" s="4"/>
      <c r="I15" s="4"/>
      <c r="L15" s="4"/>
    </row>
    <row r="16" spans="2:26">
      <c r="B16" s="231" t="str">
        <f t="shared" si="0"/>
        <v>Gewasverzorging</v>
      </c>
      <c r="C16" s="43">
        <f t="shared" si="0"/>
        <v>667</v>
      </c>
      <c r="D16" s="56"/>
      <c r="F16" s="4"/>
      <c r="I16" s="4"/>
      <c r="L16" s="4"/>
    </row>
    <row r="17" spans="2:12">
      <c r="B17" s="231" t="str">
        <f t="shared" si="0"/>
        <v>Energieverbruik en water</v>
      </c>
      <c r="C17" s="43">
        <f t="shared" si="0"/>
        <v>0</v>
      </c>
      <c r="D17" s="56"/>
      <c r="F17" s="4"/>
      <c r="I17" s="4"/>
      <c r="L17" s="4"/>
    </row>
    <row r="18" spans="2:12">
      <c r="B18" s="231" t="str">
        <f t="shared" si="0"/>
        <v>Belastingen en verzekeringen</v>
      </c>
      <c r="C18" s="43">
        <f t="shared" si="0"/>
        <v>175</v>
      </c>
      <c r="D18" s="56"/>
      <c r="F18" s="4"/>
      <c r="I18" s="4"/>
      <c r="L18" s="4"/>
    </row>
    <row r="19" spans="2:12">
      <c r="B19" s="231" t="str">
        <f t="shared" si="0"/>
        <v>Onderhoud</v>
      </c>
      <c r="C19" s="43">
        <f t="shared" si="0"/>
        <v>25</v>
      </c>
      <c r="D19" s="56"/>
      <c r="F19" s="4"/>
      <c r="I19" s="4"/>
      <c r="L19" s="4"/>
    </row>
    <row r="20" spans="2:12">
      <c r="B20" s="231" t="s">
        <v>93</v>
      </c>
      <c r="C20" s="43">
        <f>C104</f>
        <v>304.14999999999998</v>
      </c>
      <c r="D20" s="56"/>
      <c r="F20" s="4"/>
      <c r="I20" s="4"/>
      <c r="L20" s="4"/>
    </row>
    <row r="21" spans="2:12">
      <c r="B21" s="55"/>
      <c r="C21" s="103"/>
      <c r="D21" s="56"/>
      <c r="F21" s="4"/>
      <c r="I21" s="4"/>
      <c r="L21" s="4"/>
    </row>
    <row r="22" spans="2:12">
      <c r="B22" s="230" t="s">
        <v>82</v>
      </c>
      <c r="C22" s="228">
        <f>C6-C14</f>
        <v>675.75999999999976</v>
      </c>
      <c r="D22" s="56" t="s">
        <v>88</v>
      </c>
      <c r="F22" s="4"/>
      <c r="I22" s="4"/>
      <c r="L22" s="4"/>
    </row>
    <row r="23" spans="2:12">
      <c r="B23" s="55"/>
      <c r="C23" s="103"/>
      <c r="D23" s="56"/>
      <c r="F23" s="4"/>
      <c r="I23" s="4"/>
      <c r="L23" s="4"/>
    </row>
    <row r="24" spans="2:12">
      <c r="B24" s="230" t="s">
        <v>83</v>
      </c>
      <c r="C24" s="228">
        <f>SUM(C25:C31)</f>
        <v>170.75</v>
      </c>
      <c r="D24" s="56" t="s">
        <v>88</v>
      </c>
      <c r="F24" s="4"/>
      <c r="I24" s="4"/>
      <c r="L24" s="4"/>
    </row>
    <row r="25" spans="2:12">
      <c r="B25" s="231" t="str">
        <f>B48</f>
        <v>Afschrijving &amp; aflossing teeltinvesteringen</v>
      </c>
      <c r="C25" s="42">
        <f>C48</f>
        <v>170.75</v>
      </c>
      <c r="D25" s="56"/>
      <c r="F25" s="4"/>
      <c r="I25" s="4"/>
      <c r="L25" s="4"/>
    </row>
    <row r="26" spans="2:12">
      <c r="B26" s="231" t="s">
        <v>94</v>
      </c>
      <c r="C26" s="126"/>
      <c r="D26" s="56"/>
      <c r="F26" s="4"/>
      <c r="I26" s="4"/>
      <c r="L26" s="4"/>
    </row>
    <row r="27" spans="2:12">
      <c r="B27" s="231" t="s">
        <v>95</v>
      </c>
      <c r="C27" s="126"/>
      <c r="D27" s="56"/>
      <c r="F27" s="4"/>
      <c r="I27" s="4"/>
      <c r="L27" s="4"/>
    </row>
    <row r="28" spans="2:12">
      <c r="B28" s="231" t="s">
        <v>96</v>
      </c>
      <c r="C28" s="126"/>
      <c r="D28" s="56"/>
      <c r="F28" s="4"/>
      <c r="I28" s="4"/>
      <c r="L28" s="4"/>
    </row>
    <row r="29" spans="2:12">
      <c r="B29" s="231" t="s">
        <v>97</v>
      </c>
      <c r="C29" s="126"/>
      <c r="D29" s="56"/>
      <c r="F29" s="4"/>
      <c r="I29" s="4"/>
      <c r="L29" s="4"/>
    </row>
    <row r="30" spans="2:12">
      <c r="B30" s="231" t="s">
        <v>98</v>
      </c>
      <c r="C30" s="126"/>
      <c r="D30" s="56"/>
      <c r="F30" s="4"/>
      <c r="I30" s="4"/>
      <c r="L30" s="4"/>
    </row>
    <row r="31" spans="2:12">
      <c r="B31" s="231" t="s">
        <v>99</v>
      </c>
      <c r="C31" s="126"/>
      <c r="D31" s="56"/>
      <c r="F31" s="4"/>
      <c r="I31" s="4"/>
      <c r="L31" s="4"/>
    </row>
    <row r="32" spans="2:12">
      <c r="B32" s="55"/>
      <c r="C32" s="43"/>
      <c r="D32" s="56"/>
      <c r="F32" s="4"/>
      <c r="I32" s="4"/>
      <c r="L32" s="4"/>
    </row>
    <row r="33" spans="2:26">
      <c r="B33" s="230" t="s">
        <v>100</v>
      </c>
      <c r="C33" s="228">
        <f>C22-C24</f>
        <v>505.00999999999976</v>
      </c>
      <c r="D33" s="56" t="s">
        <v>101</v>
      </c>
      <c r="F33" s="4"/>
      <c r="I33" s="4"/>
      <c r="L33" s="4"/>
    </row>
    <row r="34" spans="2:26">
      <c r="B34" s="57"/>
      <c r="C34" s="229"/>
      <c r="D34" s="58"/>
      <c r="F34" s="4"/>
      <c r="I34" s="4"/>
      <c r="L34" s="4"/>
    </row>
    <row r="35" spans="2:26">
      <c r="D35" s="72"/>
      <c r="F35" s="4"/>
      <c r="I35" s="4"/>
      <c r="L35" s="4"/>
    </row>
    <row r="36" spans="2:26" ht="18.5">
      <c r="B36" s="154" t="s">
        <v>102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2:26">
      <c r="I37" s="106"/>
    </row>
    <row r="38" spans="2:26" s="75" customFormat="1" ht="17">
      <c r="B38" s="74" t="s">
        <v>103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40" spans="2:26">
      <c r="B40" s="61" t="s">
        <v>104</v>
      </c>
      <c r="C40" s="218" t="str">
        <f>F65</f>
        <v>Silphie</v>
      </c>
      <c r="D40" s="60"/>
      <c r="F40" s="61" t="s">
        <v>105</v>
      </c>
      <c r="G40" s="105"/>
      <c r="H40" s="105"/>
      <c r="I40" s="110"/>
      <c r="J40" s="60"/>
      <c r="L40" s="61" t="s">
        <v>106</v>
      </c>
      <c r="M40" s="105"/>
      <c r="N40" s="105"/>
      <c r="O40" s="105"/>
      <c r="P40" s="60"/>
    </row>
    <row r="41" spans="2:26">
      <c r="B41" s="55"/>
      <c r="C41" s="103"/>
      <c r="D41" s="56"/>
      <c r="F41" s="76" t="s">
        <v>107</v>
      </c>
      <c r="G41" s="103"/>
      <c r="H41" s="103"/>
      <c r="I41" s="73"/>
      <c r="J41" s="56"/>
      <c r="L41" s="81"/>
      <c r="M41" s="103"/>
      <c r="N41" s="103"/>
      <c r="O41" s="103"/>
      <c r="P41" s="56"/>
    </row>
    <row r="42" spans="2:26" ht="16" thickBot="1">
      <c r="B42" s="76" t="s">
        <v>108</v>
      </c>
      <c r="C42" s="340" t="s">
        <v>109</v>
      </c>
      <c r="D42" s="341"/>
      <c r="F42" s="149" t="s">
        <v>110</v>
      </c>
      <c r="G42" s="103"/>
      <c r="H42" s="64" t="s">
        <v>111</v>
      </c>
      <c r="I42" s="43"/>
      <c r="J42" s="56"/>
      <c r="L42" s="163" t="str" cm="1">
        <f t="array" ref="L42:L58">CultCost01[[#All],[Gewasverzorging]]</f>
        <v>Gewasverzorging</v>
      </c>
      <c r="M42" s="63" t="s">
        <v>112</v>
      </c>
      <c r="N42" s="64" t="s">
        <v>111</v>
      </c>
      <c r="O42" s="46">
        <f>SUM(O43:O47,O50,O55,O58)</f>
        <v>667</v>
      </c>
      <c r="P42" s="111" t="s">
        <v>88</v>
      </c>
    </row>
    <row r="43" spans="2:26" ht="16.5" thickTop="1" thickBot="1">
      <c r="B43" s="55" t="str">
        <f>F41</f>
        <v>Grondgebruik</v>
      </c>
      <c r="C43" s="42">
        <f>I43</f>
        <v>486</v>
      </c>
      <c r="D43" s="56" t="s">
        <v>88</v>
      </c>
      <c r="F43" s="62" t="s">
        <v>113</v>
      </c>
      <c r="G43" s="103"/>
      <c r="H43" s="126"/>
      <c r="I43" s="41">
        <f>IF(ISBLANK(H43),_xlfn.XLOOKUP(F43,PachtPrijs[Pachtprijs - per regio],PachtPrijs[Regionorm 2020]),H43)</f>
        <v>486</v>
      </c>
      <c r="J43" s="111" t="s">
        <v>88</v>
      </c>
      <c r="L43" s="55" t="str">
        <v>Meststoffen</v>
      </c>
      <c r="M43" s="49" t="s">
        <v>129</v>
      </c>
      <c r="N43" s="45"/>
      <c r="O43" s="107" cm="1">
        <f t="array" ref="O43">IF(ISBLANK(N43),INDEX(CultCost01[[#All],[Geen]:[Waarde MIN]],_xlfn.XMATCH('Gewas vrij invulbaar'!L43,CultCost01[[#All],[Gewasverzorging]]),_xlfn.XMATCH('Gewas vrij invulbaar'!M43,CultCost01[[#Headers],[Geen]:[Waarde MIN]])),N43)</f>
        <v>337</v>
      </c>
      <c r="P43" s="56" t="s">
        <v>88</v>
      </c>
    </row>
    <row r="44" spans="2:26" ht="16.5" thickTop="1" thickBot="1">
      <c r="B44" s="55" t="str">
        <f>L42</f>
        <v>Gewasverzorging</v>
      </c>
      <c r="C44" s="42">
        <f>O42</f>
        <v>667</v>
      </c>
      <c r="D44" s="56" t="s">
        <v>88</v>
      </c>
      <c r="F44" s="55"/>
      <c r="G44" s="103"/>
      <c r="H44" s="103"/>
      <c r="I44" s="43"/>
      <c r="J44" s="56"/>
      <c r="L44" s="55" t="str">
        <v>Gewasbeschermingsmiddelen</v>
      </c>
      <c r="M44" s="49" t="s">
        <v>114</v>
      </c>
      <c r="N44" s="45"/>
      <c r="O44" s="107" cm="1">
        <f t="array" ref="O44">IF(ISBLANK(N44),INDEX(CultCost01[[#All],[Geen]:[Waarde MIN]],_xlfn.XMATCH('Gewas vrij invulbaar'!L44,CultCost01[[#All],[Gewasverzorging]]),_xlfn.XMATCH('Gewas vrij invulbaar'!M44,CultCost01[[#Headers],[Geen]:[Waarde MIN]])),N44)</f>
        <v>0</v>
      </c>
      <c r="P44" s="56" t="s">
        <v>88</v>
      </c>
    </row>
    <row r="45" spans="2:26" ht="16.5" thickTop="1" thickBot="1">
      <c r="B45" s="55" t="str">
        <f>L60</f>
        <v>Energieverbruik en water</v>
      </c>
      <c r="C45" s="42">
        <f>O60</f>
        <v>0</v>
      </c>
      <c r="D45" s="56" t="s">
        <v>88</v>
      </c>
      <c r="F45" s="76" t="s">
        <v>115</v>
      </c>
      <c r="G45" s="63" t="s">
        <v>112</v>
      </c>
      <c r="H45" s="64" t="s">
        <v>111</v>
      </c>
      <c r="I45" s="46">
        <f>SUM(I48,I51,I54,I57,I58,I59,I60,I61,I62)</f>
        <v>400</v>
      </c>
      <c r="J45" s="111" t="s">
        <v>88</v>
      </c>
      <c r="L45" s="114" t="str">
        <v>Ongediertebestrijding - uren</v>
      </c>
      <c r="M45" s="49" t="s">
        <v>114</v>
      </c>
      <c r="N45" s="45"/>
      <c r="O45" s="169" cm="1">
        <f t="array" ref="O45">IF(ISBLANK(N45),INDEX(CultCost01[[#All],[Geen]:[Waarde MIN]],_xlfn.XMATCH('Gewas vrij invulbaar'!L45,CultCost01[[#All],[Gewasverzorging]]),_xlfn.XMATCH('Gewas vrij invulbaar'!M45,CultCost01[[#Headers],[Geen]:[Waarde MIN]])),N45)</f>
        <v>0</v>
      </c>
      <c r="P45" s="116" t="s">
        <v>116</v>
      </c>
    </row>
    <row r="46" spans="2:26" ht="16.5" thickTop="1" thickBot="1">
      <c r="B46" s="55" t="str">
        <f>L65</f>
        <v>Belastingen en verzekeringen</v>
      </c>
      <c r="C46" s="42">
        <f>O65</f>
        <v>175</v>
      </c>
      <c r="D46" s="56" t="s">
        <v>88</v>
      </c>
      <c r="F46" s="114" t="str" cm="1">
        <f t="array" ref="F46:F62">CultInvest01[Teelt - Investeringen perceel]</f>
        <v>Grondverzet - uren per hectare</v>
      </c>
      <c r="G46" s="49" t="s">
        <v>114</v>
      </c>
      <c r="H46" s="45"/>
      <c r="I46" s="108" cm="1">
        <f t="array" ref="I46">IF(ISBLANK(H46),INDEX(CultInvest01[[#All],[Geen]:[Waarde MIN]],_xlfn.XMATCH('Gewas vrij invulbaar'!F46,CultInvest01[[#All],[Teelt - Investeringen perceel]]),_xlfn.XMATCH('Gewas vrij invulbaar'!G46,CultInvest01[[#Headers],[Geen]:[Waarde MIN]])),H46)</f>
        <v>0</v>
      </c>
      <c r="J46" s="109" t="s">
        <v>116</v>
      </c>
      <c r="L46" s="114" t="str">
        <v>Ongediertebestrijding - tarief</v>
      </c>
      <c r="M46" s="49" t="s">
        <v>79</v>
      </c>
      <c r="N46" s="45"/>
      <c r="O46" s="115" cm="1">
        <f t="array" ref="O46">IF(ISBLANK(N46),INDEX(CultCost01[[#All],[Geen]:[Waarde MIN]],_xlfn.XMATCH('Gewas vrij invulbaar'!L46,CultCost01[[#All],[Gewasverzorging]]),_xlfn.XMATCH('Gewas vrij invulbaar'!M46,CultCost01[[#Headers],[Geen]:[Waarde MIN]])),N46)</f>
        <v>25</v>
      </c>
      <c r="P46" s="116" t="s">
        <v>117</v>
      </c>
    </row>
    <row r="47" spans="2:26" ht="16.5" thickTop="1" thickBot="1">
      <c r="B47" s="55" t="str">
        <f>L69</f>
        <v>Onderhoud</v>
      </c>
      <c r="C47" s="42">
        <f>O69</f>
        <v>25</v>
      </c>
      <c r="D47" s="56" t="s">
        <v>88</v>
      </c>
      <c r="F47" s="114" t="str">
        <v>Grondverzet - prijs per uur</v>
      </c>
      <c r="G47" s="49" t="s">
        <v>79</v>
      </c>
      <c r="H47" s="45"/>
      <c r="I47" s="108" cm="1">
        <f t="array" ref="I47">IF(ISBLANK(H47),INDEX(CultInvest01[[#All],[Geen]:[Waarde MIN]],_xlfn.XMATCH('Gewas vrij invulbaar'!F47,CultInvest01[[#All],[Teelt - Investeringen perceel]]),_xlfn.XMATCH('Gewas vrij invulbaar'!G47,CultInvest01[[#Headers],[Geen]:[Waarde MIN]])),H47)</f>
        <v>95</v>
      </c>
      <c r="J47" s="109" t="s">
        <v>117</v>
      </c>
      <c r="L47" s="55" t="str">
        <v>Ongediertebestrijding</v>
      </c>
      <c r="M47" s="42">
        <f>O45*O46</f>
        <v>0</v>
      </c>
      <c r="N47" s="45"/>
      <c r="O47" s="107">
        <f>IF(ISBLANK(N47),M47,N47)</f>
        <v>0</v>
      </c>
      <c r="P47" s="56" t="s">
        <v>88</v>
      </c>
    </row>
    <row r="48" spans="2:26" ht="16.5" thickTop="1" thickBot="1">
      <c r="B48" s="219" t="str">
        <f>L78</f>
        <v>Afschrijving &amp; aflossing teeltinvesteringen</v>
      </c>
      <c r="C48" s="40">
        <f>O78</f>
        <v>170.75</v>
      </c>
      <c r="D48" s="220" t="s">
        <v>88</v>
      </c>
      <c r="F48" s="55" t="str">
        <v>Grondverzet - totaal</v>
      </c>
      <c r="G48" s="42">
        <f>I46*I47</f>
        <v>0</v>
      </c>
      <c r="H48" s="45"/>
      <c r="I48" s="107">
        <f>IF(ISBLANK(H48),G48,H48)</f>
        <v>0</v>
      </c>
      <c r="J48" s="56" t="s">
        <v>88</v>
      </c>
      <c r="L48" s="114" t="str">
        <v>Dijkbeheer &amp; slootonderhoud - uren</v>
      </c>
      <c r="M48" s="49" t="s">
        <v>79</v>
      </c>
      <c r="N48" s="45"/>
      <c r="O48" s="169" cm="1">
        <f t="array" ref="O48">IF(ISBLANK(N48),INDEX(CultCost01[[#All],[Geen]:[Waarde MIN]],_xlfn.XMATCH('Gewas vrij invulbaar'!L48,CultCost01[[#All],[Gewasverzorging]]),_xlfn.XMATCH('Gewas vrij invulbaar'!M48,CultCost01[[#Headers],[Geen]:[Waarde MIN]])),N48)</f>
        <v>2.2000000000000002</v>
      </c>
      <c r="P48" s="116" t="s">
        <v>116</v>
      </c>
    </row>
    <row r="49" spans="2:16" ht="16.5" thickTop="1" thickBot="1">
      <c r="B49" s="76" t="s">
        <v>118</v>
      </c>
      <c r="C49" s="46">
        <f>SUM(C43:C48)</f>
        <v>1523.75</v>
      </c>
      <c r="D49" s="111" t="s">
        <v>88</v>
      </c>
      <c r="F49" s="114" t="str">
        <v>Grondtoevoer - kuub per hectare</v>
      </c>
      <c r="G49" s="49" t="s">
        <v>114</v>
      </c>
      <c r="H49" s="45"/>
      <c r="I49" s="108" cm="1">
        <f t="array" ref="I49">IF(ISBLANK(H49),INDEX(CultInvest01[[#All],[Geen]:[Waarde MIN]],_xlfn.XMATCH('Gewas vrij invulbaar'!F49,CultInvest01[[#All],[Teelt - Investeringen perceel]]),_xlfn.XMATCH('Gewas vrij invulbaar'!G49,CultInvest01[[#Headers],[Geen]:[Waarde MIN]])),H49)</f>
        <v>0</v>
      </c>
      <c r="J49" s="112" t="s">
        <v>119</v>
      </c>
      <c r="L49" s="114" t="str">
        <v>Dijkbeheer &amp; slootonderhoud - tarief</v>
      </c>
      <c r="M49" s="49" t="s">
        <v>79</v>
      </c>
      <c r="N49" s="45"/>
      <c r="O49" s="115" cm="1">
        <f t="array" ref="O49">IF(ISBLANK(N49),INDEX(CultCost01[[#All],[Geen]:[Waarde MIN]],_xlfn.XMATCH('Gewas vrij invulbaar'!L49,CultCost01[[#All],[Gewasverzorging]]),_xlfn.XMATCH('Gewas vrij invulbaar'!M49,CultCost01[[#Headers],[Geen]:[Waarde MIN]])),N49)</f>
        <v>25</v>
      </c>
      <c r="P49" s="116" t="s">
        <v>117</v>
      </c>
    </row>
    <row r="50" spans="2:16" ht="16.5" thickTop="1" thickBot="1">
      <c r="B50" s="55"/>
      <c r="C50" s="103"/>
      <c r="D50" s="56"/>
      <c r="F50" s="114" t="str">
        <v>Grondtoevoer - prijs per kuub</v>
      </c>
      <c r="G50" s="49" t="s">
        <v>79</v>
      </c>
      <c r="H50" s="45"/>
      <c r="I50" s="108" cm="1">
        <f t="array" ref="I50">IF(ISBLANK(H50),INDEX(CultInvest01[[#All],[Geen]:[Waarde MIN]],_xlfn.XMATCH('Gewas vrij invulbaar'!F50,CultInvest01[[#All],[Teelt - Investeringen perceel]]),_xlfn.XMATCH('Gewas vrij invulbaar'!G50,CultInvest01[[#Headers],[Geen]:[Waarde MIN]])),H50)</f>
        <v>3</v>
      </c>
      <c r="J50" s="112" t="s">
        <v>120</v>
      </c>
      <c r="L50" s="55" t="str">
        <v>Dijkbeheer &amp; slootonderhoud</v>
      </c>
      <c r="M50" s="42">
        <f>O48*O49</f>
        <v>55.000000000000007</v>
      </c>
      <c r="N50" s="45"/>
      <c r="O50" s="107">
        <f>IF(ISBLANK(N50),M50,N50)</f>
        <v>55.000000000000007</v>
      </c>
      <c r="P50" s="56" t="s">
        <v>88</v>
      </c>
    </row>
    <row r="51" spans="2:16" ht="16.5" thickTop="1" thickBot="1">
      <c r="B51" s="76" t="s">
        <v>121</v>
      </c>
      <c r="C51" s="340" t="s">
        <v>109</v>
      </c>
      <c r="D51" s="341"/>
      <c r="F51" s="55" t="str">
        <v>Grondtoevoer - totaal</v>
      </c>
      <c r="G51" s="42">
        <f>I49*I50</f>
        <v>0</v>
      </c>
      <c r="H51" s="45"/>
      <c r="I51" s="107">
        <f>IF(ISBLANK(H51),G51,H51)</f>
        <v>0</v>
      </c>
      <c r="J51" s="56" t="s">
        <v>88</v>
      </c>
      <c r="L51" s="114" t="str">
        <v>Gewasverzorging - uren medewerker</v>
      </c>
      <c r="M51" s="49" t="s">
        <v>79</v>
      </c>
      <c r="N51" s="45"/>
      <c r="O51" s="108" cm="1">
        <f t="array" ref="O51">IF(ISBLANK(N51),INDEX(CultCost01[[#All],[Geen]:[Waarde MIN]],_xlfn.XMATCH('Gewas vrij invulbaar'!L51,CultCost01[[#All],[Gewasverzorging]]),_xlfn.XMATCH('Gewas vrij invulbaar'!M51,CultCost01[[#Headers],[Geen]:[Waarde MIN]])),N51)</f>
        <v>10</v>
      </c>
      <c r="P51" s="112" t="s">
        <v>116</v>
      </c>
    </row>
    <row r="52" spans="2:16" ht="16.5" thickTop="1" thickBot="1">
      <c r="B52" s="55" t="s">
        <v>122</v>
      </c>
      <c r="C52" s="42">
        <f>I45</f>
        <v>400</v>
      </c>
      <c r="D52" s="56" t="s">
        <v>88</v>
      </c>
      <c r="F52" s="114" t="str">
        <v>Watertoevoer - meter leiding per hectare</v>
      </c>
      <c r="G52" s="49" t="s">
        <v>114</v>
      </c>
      <c r="H52" s="45"/>
      <c r="I52" s="108" cm="1">
        <f t="array" ref="I52">IF(ISBLANK(H52),INDEX(CultInvest01[[#All],[Geen]:[Waarde MIN]],_xlfn.XMATCH('Gewas vrij invulbaar'!F52,CultInvest01[[#All],[Teelt - Investeringen perceel]]),_xlfn.XMATCH('Gewas vrij invulbaar'!G52,CultInvest01[[#Headers],[Geen]:[Waarde MIN]])),H52)</f>
        <v>0</v>
      </c>
      <c r="J52" s="112" t="s">
        <v>123</v>
      </c>
      <c r="L52" s="114" t="str">
        <v>Medewerker - tarief per uur</v>
      </c>
      <c r="M52" s="49" t="s">
        <v>79</v>
      </c>
      <c r="N52" s="45"/>
      <c r="O52" s="108" cm="1">
        <f t="array" ref="O52">IF(ISBLANK(N52),INDEX(CultCost01[[#All],[Geen]:[Waarde MIN]],_xlfn.XMATCH('Gewas vrij invulbaar'!L52,CultCost01[[#All],[Gewasverzorging]]),_xlfn.XMATCH('Gewas vrij invulbaar'!M52,CultCost01[[#Headers],[Geen]:[Waarde MIN]])),N52)</f>
        <v>25</v>
      </c>
      <c r="P52" s="112" t="s">
        <v>117</v>
      </c>
    </row>
    <row r="53" spans="2:16" ht="16.5" thickTop="1" thickBot="1">
      <c r="B53" s="77" t="s">
        <v>124</v>
      </c>
      <c r="C53" s="198">
        <f>I66</f>
        <v>2161.25</v>
      </c>
      <c r="D53" s="220" t="s">
        <v>88</v>
      </c>
      <c r="F53" s="114" t="str">
        <v>Watertoevoer - prijs per meter leiding</v>
      </c>
      <c r="G53" s="49" t="s">
        <v>79</v>
      </c>
      <c r="H53" s="45"/>
      <c r="I53" s="108" cm="1">
        <f t="array" ref="I53">IF(ISBLANK(H53),INDEX(CultInvest01[[#All],[Geen]:[Waarde MIN]],_xlfn.XMATCH('Gewas vrij invulbaar'!F53,CultInvest01[[#All],[Teelt - Investeringen perceel]]),_xlfn.XMATCH('Gewas vrij invulbaar'!G53,CultInvest01[[#Headers],[Geen]:[Waarde MIN]])),H53)</f>
        <v>10</v>
      </c>
      <c r="J53" s="112" t="s">
        <v>125</v>
      </c>
      <c r="L53" s="114" t="str">
        <v xml:space="preserve">Gewasverzorging - uren management </v>
      </c>
      <c r="M53" s="49" t="s">
        <v>79</v>
      </c>
      <c r="N53" s="45"/>
      <c r="O53" s="108" cm="1">
        <f t="array" ref="O53">IF(ISBLANK(N53),INDEX(CultCost01[[#All],[Geen]:[Waarde MIN]],_xlfn.XMATCH('Gewas vrij invulbaar'!L53,CultCost01[[#All],[Gewasverzorging]]),_xlfn.XMATCH('Gewas vrij invulbaar'!M53,CultCost01[[#Headers],[Geen]:[Waarde MIN]])),N53)</f>
        <v>1</v>
      </c>
      <c r="P53" s="112" t="s">
        <v>116</v>
      </c>
    </row>
    <row r="54" spans="2:16" ht="16.5" thickTop="1" thickBot="1">
      <c r="B54" s="78" t="s">
        <v>118</v>
      </c>
      <c r="C54" s="147">
        <f>SUM(C52:C53)</f>
        <v>2561.25</v>
      </c>
      <c r="D54" s="148" t="s">
        <v>88</v>
      </c>
      <c r="F54" s="125" t="str">
        <v>Watertoevoer - totaal</v>
      </c>
      <c r="G54" s="42">
        <f>I52*I53</f>
        <v>0</v>
      </c>
      <c r="H54" s="45"/>
      <c r="I54" s="107">
        <f>IF(ISBLANK(H54),G54,H54)</f>
        <v>0</v>
      </c>
      <c r="J54" s="56" t="s">
        <v>88</v>
      </c>
      <c r="L54" s="114" t="str">
        <v>Manager - tarief per uur</v>
      </c>
      <c r="M54" s="49" t="s">
        <v>114</v>
      </c>
      <c r="N54" s="45"/>
      <c r="O54" s="108" cm="1">
        <f t="array" ref="O54">IF(ISBLANK(N54),INDEX(CultCost01[[#All],[Geen]:[Waarde MIN]],_xlfn.XMATCH('Gewas vrij invulbaar'!L54,CultCost01[[#All],[Gewasverzorging]]),_xlfn.XMATCH('Gewas vrij invulbaar'!M54,CultCost01[[#Headers],[Geen]:[Waarde MIN]])),N54)</f>
        <v>0</v>
      </c>
      <c r="P54" s="112" t="s">
        <v>117</v>
      </c>
    </row>
    <row r="55" spans="2:16" ht="16.5" thickTop="1" thickBot="1">
      <c r="F55" s="114" t="str">
        <v>Waterafvoer - meter leiding per hectare</v>
      </c>
      <c r="G55" s="49" t="s">
        <v>114</v>
      </c>
      <c r="H55" s="45"/>
      <c r="I55" s="108" cm="1">
        <f t="array" ref="I55">IF(ISBLANK(H55),INDEX(CultInvest01[[#All],[Geen]:[Waarde MIN]],_xlfn.XMATCH('Gewas vrij invulbaar'!F55,CultInvest01[[#All],[Teelt - Investeringen perceel]]),_xlfn.XMATCH('Gewas vrij invulbaar'!G55,CultInvest01[[#Headers],[Geen]:[Waarde MIN]])),H55)</f>
        <v>0</v>
      </c>
      <c r="J55" s="112" t="s">
        <v>123</v>
      </c>
      <c r="L55" s="55" t="str">
        <v>Gewasverzorging - eigen arbeidsuren</v>
      </c>
      <c r="M55" s="42">
        <f>SUM(O51*O52,O53*O54)</f>
        <v>250</v>
      </c>
      <c r="N55" s="45"/>
      <c r="O55" s="107">
        <f>IF(ISBLANK(N55),M55,N55)</f>
        <v>250</v>
      </c>
      <c r="P55" s="56" t="s">
        <v>88</v>
      </c>
    </row>
    <row r="56" spans="2:16" ht="16.5" thickTop="1" thickBot="1">
      <c r="F56" s="114" t="str">
        <v>Waterafvoer - prijs per meter leiding</v>
      </c>
      <c r="G56" s="49" t="s">
        <v>79</v>
      </c>
      <c r="H56" s="45"/>
      <c r="I56" s="108" cm="1">
        <f t="array" ref="I56">IF(ISBLANK(H56),INDEX(CultInvest01[[#All],[Geen]:[Waarde MIN]],_xlfn.XMATCH('Gewas vrij invulbaar'!F56,CultInvest01[[#All],[Teelt - Investeringen perceel]]),_xlfn.XMATCH('Gewas vrij invulbaar'!G56,CultInvest01[[#Headers],[Geen]:[Waarde MIN]])),H56)</f>
        <v>10</v>
      </c>
      <c r="J56" s="112" t="s">
        <v>125</v>
      </c>
      <c r="L56" s="114" t="str">
        <v>Gewasverzorging - uren inhuur derden</v>
      </c>
      <c r="M56" s="49" t="s">
        <v>114</v>
      </c>
      <c r="N56" s="45"/>
      <c r="O56" s="108" cm="1">
        <f t="array" ref="O56">IF(ISBLANK(N56),INDEX(CultCost01[[#All],[Geen]:[Waarde MIN]],_xlfn.XMATCH('Gewas vrij invulbaar'!L56,CultCost01[[#All],[Gewasverzorging]]),_xlfn.XMATCH('Gewas vrij invulbaar'!M56,CultCost01[[#Headers],[Geen]:[Waarde MIN]])),N56)</f>
        <v>0</v>
      </c>
      <c r="P56" s="112" t="s">
        <v>116</v>
      </c>
    </row>
    <row r="57" spans="2:16" ht="16.5" thickTop="1" thickBot="1">
      <c r="F57" s="55" t="str">
        <v>Waterafvoer - totaal</v>
      </c>
      <c r="G57" s="42">
        <f>I55*I56</f>
        <v>0</v>
      </c>
      <c r="H57" s="45"/>
      <c r="I57" s="107">
        <f>IF(ISBLANK(H57),G57,H57)</f>
        <v>0</v>
      </c>
      <c r="J57" s="56" t="s">
        <v>88</v>
      </c>
      <c r="L57" s="114" t="str">
        <v>Gewasverzorging - tarief inhuur derden</v>
      </c>
      <c r="M57" s="49" t="s">
        <v>114</v>
      </c>
      <c r="N57" s="45"/>
      <c r="O57" s="108" cm="1">
        <f t="array" ref="O57">IF(ISBLANK(N57),INDEX(CultCost01[[#All],[Geen]:[Waarde MIN]],_xlfn.XMATCH('Gewas vrij invulbaar'!L57,CultCost01[[#All],[Gewasverzorging]]),_xlfn.XMATCH('Gewas vrij invulbaar'!M57,CultCost01[[#Headers],[Geen]:[Waarde MIN]])),N57)</f>
        <v>0</v>
      </c>
      <c r="P57" s="112" t="s">
        <v>117</v>
      </c>
    </row>
    <row r="58" spans="2:16" ht="16.5" thickTop="1" thickBot="1">
      <c r="F58" s="55" t="str">
        <v>Pompen - aanschaf incl. stroomvoorziening</v>
      </c>
      <c r="G58" s="49" t="s">
        <v>114</v>
      </c>
      <c r="H58" s="45"/>
      <c r="I58" s="107" cm="1">
        <f t="array" ref="I58">IF(ISBLANK(H58),INDEX(CultInvest01[[#All],[Geen]:[Waarde MIN]],_xlfn.XMATCH('Gewas vrij invulbaar'!F58,CultInvest01[[#All],[Teelt - Investeringen perceel]]),_xlfn.XMATCH('Gewas vrij invulbaar'!G58,CultInvest01[[#Headers],[Geen]:[Waarde MIN]])),H58)</f>
        <v>0</v>
      </c>
      <c r="J58" s="56" t="s">
        <v>88</v>
      </c>
      <c r="L58" s="55" t="str">
        <v>Gewasverzorging - inhuur derden</v>
      </c>
      <c r="M58" s="103">
        <f>O56*O57</f>
        <v>0</v>
      </c>
      <c r="N58" s="45"/>
      <c r="O58" s="107">
        <f>IF(ISBLANK(N58),M58,N58)</f>
        <v>0</v>
      </c>
      <c r="P58" s="56" t="s">
        <v>88</v>
      </c>
    </row>
    <row r="59" spans="2:16" ht="16.5" thickTop="1" thickBot="1">
      <c r="F59" s="55" t="str">
        <v>Waterpeilbeheersing (schuiven, slibkisten, etc.)</v>
      </c>
      <c r="G59" s="49" t="s">
        <v>114</v>
      </c>
      <c r="H59" s="45"/>
      <c r="I59" s="107" cm="1">
        <f t="array" ref="I59">IF(ISBLANK(H59),INDEX(CultInvest01[[#All],[Geen]:[Waarde MIN]],_xlfn.XMATCH('Gewas vrij invulbaar'!F59,CultInvest01[[#All],[Teelt - Investeringen perceel]]),_xlfn.XMATCH('Gewas vrij invulbaar'!G59,CultInvest01[[#Headers],[Geen]:[Waarde MIN]])),H59)</f>
        <v>0</v>
      </c>
      <c r="J59" s="56" t="s">
        <v>88</v>
      </c>
      <c r="L59" s="55"/>
      <c r="M59" s="103"/>
      <c r="N59" s="103"/>
      <c r="O59" s="103"/>
      <c r="P59" s="56"/>
    </row>
    <row r="60" spans="2:16" ht="16.5" thickTop="1" thickBot="1">
      <c r="F60" s="55" t="str">
        <v>Afrastering &amp; vraatbescherming</v>
      </c>
      <c r="G60" s="49" t="s">
        <v>126</v>
      </c>
      <c r="H60" s="45"/>
      <c r="I60" s="107" cm="1">
        <f t="array" ref="I60">IF(ISBLANK(H60),INDEX(CultInvest01[[#All],[Geen]:[Waarde MIN]],_xlfn.XMATCH('Gewas vrij invulbaar'!F60,CultInvest01[[#All],[Teelt - Investeringen perceel]]),_xlfn.XMATCH('Gewas vrij invulbaar'!G60,CultInvest01[[#Headers],[Geen]:[Waarde MIN]])),H60)</f>
        <v>250</v>
      </c>
      <c r="J60" s="56" t="s">
        <v>88</v>
      </c>
      <c r="L60" s="76" t="str" cm="1">
        <f t="array" ref="L60:L63">CultCost02[[#All],[Energieverbruik en water]]</f>
        <v>Energieverbruik en water</v>
      </c>
      <c r="M60" s="63" t="s">
        <v>112</v>
      </c>
      <c r="N60" s="64" t="s">
        <v>111</v>
      </c>
      <c r="O60" s="46">
        <f>SUM(O61:O63)</f>
        <v>0</v>
      </c>
      <c r="P60" s="111" t="s">
        <v>88</v>
      </c>
    </row>
    <row r="61" spans="2:16" ht="16.5" thickTop="1" thickBot="1">
      <c r="F61" s="55" t="str">
        <v>Overige kosten (bijv. folie)</v>
      </c>
      <c r="G61" s="49" t="s">
        <v>114</v>
      </c>
      <c r="H61" s="45"/>
      <c r="I61" s="107" cm="1">
        <f t="array" ref="I61">IF(ISBLANK(H61),INDEX(CultInvest01[[#All],[Geen]:[Waarde MIN]],_xlfn.XMATCH('Gewas vrij invulbaar'!F61,CultInvest01[[#All],[Teelt - Investeringen perceel]]),_xlfn.XMATCH('Gewas vrij invulbaar'!G61,CultInvest01[[#Headers],[Geen]:[Waarde MIN]])),H61)</f>
        <v>0</v>
      </c>
      <c r="J61" s="56" t="s">
        <v>88</v>
      </c>
      <c r="L61" s="55" t="str">
        <v>Elektraverbruik irrigatie en peilbeheer</v>
      </c>
      <c r="M61" s="49" t="s">
        <v>114</v>
      </c>
      <c r="N61" s="45"/>
      <c r="O61" s="107" cm="1">
        <f t="array" ref="O61">IF(ISBLANK(N61),INDEX(CultCost02[[#All],[Geen]:[Waarde MIN]],_xlfn.XMATCH('Gewas vrij invulbaar'!L61,CultCost02[[#All],[Energieverbruik en water]]),_xlfn.XMATCH('Gewas vrij invulbaar'!M61,CultCost02[[#Headers],[Geen]:[Waarde MIN]])),N61)</f>
        <v>0</v>
      </c>
      <c r="P61" s="56" t="s">
        <v>88</v>
      </c>
    </row>
    <row r="62" spans="2:16" ht="16.5" thickTop="1" thickBot="1">
      <c r="F62" s="55" t="str">
        <v>Vergunningsaanvraag</v>
      </c>
      <c r="G62" s="49" t="s">
        <v>79</v>
      </c>
      <c r="H62" s="45"/>
      <c r="I62" s="107" cm="1">
        <f t="array" ref="I62">IF(ISBLANK(H62),INDEX(CultInvest01[[#All],[Geen]:[Waarde MIN]],_xlfn.XMATCH('Gewas vrij invulbaar'!F62,CultInvest01[[#All],[Teelt - Investeringen perceel]]),_xlfn.XMATCH('Gewas vrij invulbaar'!G62,CultInvest01[[#Headers],[Geen]:[Waarde MIN]])),H62)</f>
        <v>150</v>
      </c>
      <c r="J62" s="56" t="s">
        <v>88</v>
      </c>
      <c r="L62" s="55" t="str">
        <v xml:space="preserve">Elektraverbruik overig </v>
      </c>
      <c r="M62" s="49" t="s">
        <v>114</v>
      </c>
      <c r="N62" s="45"/>
      <c r="O62" s="107" cm="1">
        <f t="array" ref="O62">IF(ISBLANK(N62),INDEX(CultCost02[[#All],[Geen]:[Waarde MIN]],_xlfn.XMATCH('Gewas vrij invulbaar'!L62,CultCost02[[#All],[Energieverbruik en water]]),_xlfn.XMATCH('Gewas vrij invulbaar'!M62,CultCost02[[#Headers],[Geen]:[Waarde MIN]])),N62)</f>
        <v>0</v>
      </c>
      <c r="P62" s="56" t="s">
        <v>88</v>
      </c>
    </row>
    <row r="63" spans="2:16" ht="16.5" thickTop="1" thickBot="1">
      <c r="F63" s="55"/>
      <c r="G63" s="43"/>
      <c r="H63" s="107"/>
      <c r="I63" s="107"/>
      <c r="J63" s="56"/>
      <c r="L63" s="55" t="str">
        <v>Heffingen waterverbruik</v>
      </c>
      <c r="M63" s="49" t="s">
        <v>114</v>
      </c>
      <c r="N63" s="45"/>
      <c r="O63" s="107" cm="1">
        <f t="array" ref="O63">IF(ISBLANK(N63),INDEX(CultCost02[[#All],[Geen]:[Waarde MIN]],_xlfn.XMATCH('Gewas vrij invulbaar'!L63,CultCost02[[#All],[Energieverbruik en water]]),_xlfn.XMATCH('Gewas vrij invulbaar'!M63,CultCost02[[#Headers],[Geen]:[Waarde MIN]])),N63)</f>
        <v>0</v>
      </c>
      <c r="P63" s="56" t="s">
        <v>88</v>
      </c>
    </row>
    <row r="64" spans="2:16" ht="16.5" thickTop="1" thickBot="1">
      <c r="F64" s="76" t="s">
        <v>127</v>
      </c>
      <c r="G64" s="43"/>
      <c r="H64" s="107"/>
      <c r="I64" s="107"/>
      <c r="J64" s="56"/>
      <c r="L64" s="55"/>
      <c r="M64" s="103"/>
      <c r="N64" s="103"/>
      <c r="O64" s="103"/>
      <c r="P64" s="56"/>
    </row>
    <row r="65" spans="6:16" ht="16.5" thickTop="1" thickBot="1">
      <c r="F65" s="49" t="s">
        <v>220</v>
      </c>
      <c r="G65" s="43"/>
      <c r="H65" s="107"/>
      <c r="I65" s="107"/>
      <c r="J65" s="56"/>
      <c r="L65" s="76" t="str" cm="1">
        <f t="array" ref="L65:L67">CultCost03[[#All],[Belastingen en verzekeringen]]</f>
        <v>Belastingen en verzekeringen</v>
      </c>
      <c r="M65" s="63" t="s">
        <v>112</v>
      </c>
      <c r="N65" s="64" t="s">
        <v>111</v>
      </c>
      <c r="O65" s="79">
        <f>SUM(O66:O67)</f>
        <v>175</v>
      </c>
      <c r="P65" s="111" t="s">
        <v>88</v>
      </c>
    </row>
    <row r="66" spans="6:16" ht="16.5" thickTop="1" thickBot="1">
      <c r="F66" s="76" t="s">
        <v>128</v>
      </c>
      <c r="G66" s="63" t="s">
        <v>112</v>
      </c>
      <c r="H66" s="64" t="s">
        <v>111</v>
      </c>
      <c r="I66" s="41">
        <f>IF(F67='DATA - Variabelen &amp; waarden'!B42,SUM('Gewas vrij invulbaar'!I69,'Gewas vrij invulbaar'!I70,'Gewas vrij invulbaar'!I71,'Gewas vrij invulbaar'!I74,'Gewas vrij invulbaar'!I79),SUM('Gewas vrij invulbaar'!I69,'Gewas vrij invulbaar'!I70,'Gewas vrij invulbaar'!I75,'Gewas vrij invulbaar'!I77))</f>
        <v>2161.25</v>
      </c>
      <c r="J66" s="111" t="s">
        <v>88</v>
      </c>
      <c r="L66" s="55" t="str">
        <v>Waterschapsbelasting</v>
      </c>
      <c r="M66" s="49" t="s">
        <v>129</v>
      </c>
      <c r="N66" s="45"/>
      <c r="O66" s="119" cm="1">
        <f t="array" ref="O66">IF(ISBLANK(N66),INDEX(CultCost03[[#All],[Geen]:[Waarde MIN]],_xlfn.XMATCH('Gewas vrij invulbaar'!L66,CultCost03[[#All],[Belastingen en verzekeringen]]),_xlfn.XMATCH('Gewas vrij invulbaar'!M66,CultCost03[[#Headers],[Geen]:[Waarde MIN]])),N66)</f>
        <v>100</v>
      </c>
      <c r="P66" s="56" t="s">
        <v>88</v>
      </c>
    </row>
    <row r="67" spans="6:16" ht="16.5" thickTop="1" thickBot="1">
      <c r="F67" s="49" t="s">
        <v>215</v>
      </c>
      <c r="G67" s="43"/>
      <c r="H67" s="107"/>
      <c r="I67" s="107"/>
      <c r="J67" s="56"/>
      <c r="L67" s="55" t="str">
        <v>Verzekeringen</v>
      </c>
      <c r="M67" s="49" t="s">
        <v>79</v>
      </c>
      <c r="N67" s="45"/>
      <c r="O67" s="103" cm="1">
        <f t="array" ref="O67">IF(ISBLANK(N67),INDEX(CultCost03[[#All],[Geen]:[Waarde MIN]],_xlfn.XMATCH('Gewas vrij invulbaar'!L67,CultCost03[[#All],[Belastingen en verzekeringen]]),_xlfn.XMATCH('Gewas vrij invulbaar'!M67,CultCost03[[#Headers],[Geen]:[Waarde MIN]])),N67)</f>
        <v>75</v>
      </c>
      <c r="P67" s="56" t="s">
        <v>88</v>
      </c>
    </row>
    <row r="68" spans="6:16" ht="16.5" thickTop="1" thickBot="1">
      <c r="F68" s="76" t="s">
        <v>131</v>
      </c>
      <c r="G68" s="43"/>
      <c r="H68" s="107"/>
      <c r="I68" s="107"/>
      <c r="J68" s="56"/>
      <c r="L68" s="55"/>
      <c r="M68" s="103"/>
      <c r="N68" s="103"/>
      <c r="O68" s="103"/>
      <c r="P68" s="56"/>
    </row>
    <row r="69" spans="6:16" ht="16.5" thickTop="1" thickBot="1">
      <c r="F69" s="55" t="str" cm="1">
        <f t="array" ref="F69:F75">CultInvest02[Planten / Zaaien - Algemene kosten]</f>
        <v>Klaarmaken grond - grondbewerking</v>
      </c>
      <c r="G69" s="49" t="s">
        <v>126</v>
      </c>
      <c r="H69" s="45"/>
      <c r="I69" s="107" cm="1">
        <f t="array" ref="I69">IF(ISBLANK(H69),INDEX(CultInvest02[[#Headers],[#Data],[Geen]:[Waarde MIN]],_xlfn.XMATCH('Gewas vrij invulbaar'!F69,CultInvest02[[#Headers],[#Data],[Planten / Zaaien - Algemene kosten]]),_xlfn.XMATCH('Gewas vrij invulbaar'!G69,CultInvest02[[#Headers],[Geen]:[Waarde MIN]])),H69)</f>
        <v>65</v>
      </c>
      <c r="J69" s="56" t="s">
        <v>88</v>
      </c>
      <c r="L69" s="76" t="str" cm="1">
        <f t="array" ref="L69:L76">CultCost04[[#All],[Onderhoud]]</f>
        <v>Onderhoud</v>
      </c>
      <c r="M69" s="63" t="s">
        <v>112</v>
      </c>
      <c r="N69" s="64" t="s">
        <v>111</v>
      </c>
      <c r="O69" s="46">
        <f>SUM(O70:O76)</f>
        <v>25</v>
      </c>
      <c r="P69" s="111" t="s">
        <v>88</v>
      </c>
    </row>
    <row r="70" spans="6:16" ht="16.5" thickTop="1" thickBot="1">
      <c r="F70" s="55" t="str">
        <v>Klaarmaken grond - bodemverbeteraars/bemesting</v>
      </c>
      <c r="G70" s="49" t="s">
        <v>126</v>
      </c>
      <c r="H70" s="45"/>
      <c r="I70" s="107" cm="1">
        <f t="array" ref="I70">IF(ISBLANK(H70),INDEX(CultInvest02[[#Headers],[#Data],[Geen]:[Waarde MIN]],_xlfn.XMATCH('Gewas vrij invulbaar'!F70,CultInvest02[[#Headers],[#Data],[Planten / Zaaien - Algemene kosten]]),_xlfn.XMATCH('Gewas vrij invulbaar'!G70,CultInvest02[[#Headers],[Geen]:[Waarde MIN]])),H70)</f>
        <v>100</v>
      </c>
      <c r="J70" s="56" t="s">
        <v>88</v>
      </c>
      <c r="L70" s="55" t="str">
        <v>Grondverzet - totaal</v>
      </c>
      <c r="M70" s="49" t="s">
        <v>114</v>
      </c>
      <c r="N70" s="45"/>
      <c r="O70" s="43" cm="1">
        <f t="array" ref="O70">IF(ISBLANK(N70),(SUM(I48,I51)*INDEX(CultCost04[[#All],[Geen]:[Waarde MIN]],_xlfn.XMATCH('Gewas vrij invulbaar'!L70,CultCost04[[#All],[Onderhoud]]),_xlfn.XMATCH('Gewas vrij invulbaar'!M70,CultCost04[[#Headers],[Geen]:[Waarde MIN]]))),N70)</f>
        <v>0</v>
      </c>
      <c r="P70" s="56" t="s">
        <v>88</v>
      </c>
    </row>
    <row r="71" spans="6:16" ht="16.5" thickTop="1" thickBot="1">
      <c r="F71" s="55" t="str">
        <v>Plantkosten - machine</v>
      </c>
      <c r="G71" s="49" t="s">
        <v>114</v>
      </c>
      <c r="H71" s="45"/>
      <c r="I71" s="107" cm="1">
        <f t="array" ref="I71">IF(ISBLANK(H71),INDEX(CultInvest02[[#Headers],[#Data],[Geen]:[Waarde MIN]],_xlfn.XMATCH('Gewas vrij invulbaar'!F71,CultInvest02[[#Headers],[#Data],[Planten / Zaaien - Algemene kosten]]),_xlfn.XMATCH('Gewas vrij invulbaar'!G71,CultInvest02[[#Headers],[Geen]:[Waarde MIN]])),H71)</f>
        <v>0</v>
      </c>
      <c r="J71" s="56" t="s">
        <v>88</v>
      </c>
      <c r="L71" s="55" t="str">
        <v>Watertoevoer - totaal</v>
      </c>
      <c r="M71" s="49" t="s">
        <v>79</v>
      </c>
      <c r="N71" s="45"/>
      <c r="O71" s="42" cm="1">
        <f t="array" ref="O71">IF(ISBLANK(N71),(I54*INDEX(CultCost04[[#All],[Geen]:[Waarde MIN]],_xlfn.XMATCH('Gewas vrij invulbaar'!L71,CultCost04[[#All],[Onderhoud]]),_xlfn.XMATCH('Gewas vrij invulbaar'!M71,CultCost04[[#Headers],[Geen]:[Waarde MIN]]))),N71)</f>
        <v>0</v>
      </c>
      <c r="P71" s="56" t="s">
        <v>88</v>
      </c>
    </row>
    <row r="72" spans="6:16" ht="16.5" thickTop="1" thickBot="1">
      <c r="F72" s="114" t="str">
        <v>Plantkosten - uren per hectare</v>
      </c>
      <c r="G72" s="49" t="s">
        <v>129</v>
      </c>
      <c r="H72" s="45"/>
      <c r="I72" s="108" cm="1">
        <f t="array" ref="I72">IF(ISBLANK(H72),INDEX(CultInvest02[[#Headers],[#Data],[Geen]:[Waarde MIN]],_xlfn.XMATCH('Gewas vrij invulbaar'!F72,CultInvest02[[#Headers],[#Data],[Planten / Zaaien - Algemene kosten]]),_xlfn.XMATCH('Gewas vrij invulbaar'!G72,CultInvest02[[#Headers],[Geen]:[Waarde MIN]])),H72)</f>
        <v>40</v>
      </c>
      <c r="J72" s="112" t="s">
        <v>132</v>
      </c>
      <c r="L72" s="55" t="str">
        <v>Waterafvoer - totaal</v>
      </c>
      <c r="M72" s="49" t="s">
        <v>79</v>
      </c>
      <c r="N72" s="45"/>
      <c r="O72" s="42" cm="1">
        <f t="array" ref="O72">IF(ISBLANK(N72),(I57*INDEX(CultCost04[[#All],[Geen]:[Waarde MIN]],_xlfn.XMATCH('Gewas vrij invulbaar'!L72,CultCost04[[#All],[Onderhoud]]),_xlfn.XMATCH('Gewas vrij invulbaar'!M72,CultCost04[[#Headers],[Geen]:[Waarde MIN]]))),N72)</f>
        <v>0</v>
      </c>
      <c r="P72" s="56" t="s">
        <v>88</v>
      </c>
    </row>
    <row r="73" spans="6:16" ht="16.5" thickTop="1" thickBot="1">
      <c r="F73" s="114" t="str">
        <v>Plantkosten - prijs per uur</v>
      </c>
      <c r="G73" s="49" t="s">
        <v>79</v>
      </c>
      <c r="H73" s="45"/>
      <c r="I73" s="108" cm="1">
        <f t="array" ref="I73">IF(ISBLANK(H73),INDEX(CultInvest02[[#Headers],[#Data],[Geen]:[Waarde MIN]],_xlfn.XMATCH('Gewas vrij invulbaar'!F73,CultInvest02[[#Headers],[#Data],[Planten / Zaaien - Algemene kosten]]),_xlfn.XMATCH('Gewas vrij invulbaar'!G73,CultInvest02[[#Headers],[Geen]:[Waarde MIN]])),H73)</f>
        <v>25</v>
      </c>
      <c r="J73" s="112" t="s">
        <v>117</v>
      </c>
      <c r="L73" s="55" t="str">
        <v>Pompen - aanschaf incl. stroomvoorziening</v>
      </c>
      <c r="M73" s="49" t="s">
        <v>79</v>
      </c>
      <c r="N73" s="45"/>
      <c r="O73" s="42" cm="1">
        <f t="array" ref="O73">IF(ISBLANK(N73),(I58*INDEX(CultCost04[[#All],[Geen]:[Waarde MIN]],_xlfn.XMATCH('Gewas vrij invulbaar'!L73,CultCost04[[#All],[Onderhoud]]),_xlfn.XMATCH('Gewas vrij invulbaar'!M73,CultCost04[[#Headers],[Geen]:[Waarde MIN]]))),N73)</f>
        <v>0</v>
      </c>
      <c r="P73" s="56" t="s">
        <v>88</v>
      </c>
    </row>
    <row r="74" spans="6:16" ht="16.5" thickTop="1" thickBot="1">
      <c r="F74" s="55" t="str">
        <v>Plantkosten - arbeid totaal</v>
      </c>
      <c r="G74" s="43">
        <f>I72*I73</f>
        <v>1000</v>
      </c>
      <c r="H74" s="45"/>
      <c r="I74" s="107">
        <f>IF(ISBLANK(H74),G74,H74)</f>
        <v>1000</v>
      </c>
      <c r="J74" s="56" t="s">
        <v>88</v>
      </c>
      <c r="L74" s="55" t="str">
        <v>Waterpeilbeheersing (schuiven, slibkisten, etc.)</v>
      </c>
      <c r="M74" s="49" t="s">
        <v>79</v>
      </c>
      <c r="N74" s="45"/>
      <c r="O74" s="42" cm="1">
        <f t="array" ref="O74">IF(ISBLANK(N74),(I59*INDEX(CultCost04[[#All],[Geen]:[Waarde MIN]],_xlfn.XMATCH('Gewas vrij invulbaar'!L74,CultCost04[[#All],[Onderhoud]]),_xlfn.XMATCH('Gewas vrij invulbaar'!M74,CultCost04[[#Headers],[Geen]:[Waarde MIN]]))),N74)</f>
        <v>0</v>
      </c>
      <c r="P74" s="56" t="s">
        <v>88</v>
      </c>
    </row>
    <row r="75" spans="6:16" ht="16.5" thickTop="1" thickBot="1">
      <c r="F75" s="55" t="str">
        <v>Zaaikosten - machine + arbeid</v>
      </c>
      <c r="G75" s="49" t="s">
        <v>129</v>
      </c>
      <c r="H75" s="45"/>
      <c r="I75" s="107" cm="1">
        <f t="array" ref="I75">IF(ISBLANK(H75),INDEX(CultInvest02[[#Headers],[#Data],[Geen]:[Waarde MIN]],_xlfn.XMATCH('Gewas vrij invulbaar'!F75,CultInvest02[[#Headers],[#Data],[Planten / Zaaien - Algemene kosten]]),_xlfn.XMATCH('Gewas vrij invulbaar'!G75,CultInvest02[[#Headers],[Geen]:[Waarde MIN]])),H75)</f>
        <v>166.25</v>
      </c>
      <c r="J75" s="112" t="s">
        <v>117</v>
      </c>
      <c r="L75" s="55" t="str">
        <v>Afrastering &amp; vraatbescherming</v>
      </c>
      <c r="M75" s="49" t="s">
        <v>129</v>
      </c>
      <c r="N75" s="45"/>
      <c r="O75" s="42" cm="1">
        <f t="array" ref="O75">IF(ISBLANK(N75),(I60*INDEX(CultCost04[[#All],[Geen]:[Waarde MIN]],_xlfn.XMATCH('Gewas vrij invulbaar'!L75,CultCost04[[#All],[Onderhoud]]),_xlfn.XMATCH('Gewas vrij invulbaar'!M75,CultCost04[[#Headers],[Geen]:[Waarde MIN]]))),N75)</f>
        <v>25</v>
      </c>
      <c r="P75" s="56" t="s">
        <v>88</v>
      </c>
    </row>
    <row r="76" spans="6:16" ht="16.5" thickTop="1" thickBot="1">
      <c r="F76" s="76" t="s">
        <v>133</v>
      </c>
      <c r="G76" s="43"/>
      <c r="H76" s="107"/>
      <c r="I76" s="107"/>
      <c r="J76" s="56"/>
      <c r="L76" s="55" t="str">
        <v>Overige kosten (bijv. folie)</v>
      </c>
      <c r="M76" s="49" t="s">
        <v>79</v>
      </c>
      <c r="N76" s="45"/>
      <c r="O76" s="42" cm="1">
        <f t="array" ref="O76">IF(ISBLANK(N76),(I61*INDEX(CultCost04[[#All],[Geen]:[Waarde MIN]],_xlfn.XMATCH('Gewas vrij invulbaar'!L76,CultCost04[[#All],[Onderhoud]]),_xlfn.XMATCH('Gewas vrij invulbaar'!M76,CultCost04[[#Headers],[Geen]:[Waarde MIN]]))),N76)</f>
        <v>0</v>
      </c>
      <c r="P76" s="56" t="s">
        <v>88</v>
      </c>
    </row>
    <row r="77" spans="6:16" ht="16.5" thickTop="1" thickBot="1">
      <c r="F77" s="76"/>
      <c r="G77" s="49" t="s">
        <v>79</v>
      </c>
      <c r="H77" s="45"/>
      <c r="I77" s="107" cm="1">
        <f t="array" ref="I77">IF(ISBLANK(H77),INDEX(Zaaigoed[[Geen]:[Waarde MIN]],_xlfn.XMATCH('Gewas vrij invulbaar'!F65,Zaaigoed[Zaaigoed]),_xlfn.XMATCH('Gewas vrij invulbaar'!G77,Zaaigoed[[#Headers],[Geen]:[Waarde MIN]])),H77)</f>
        <v>1830</v>
      </c>
      <c r="J77" s="56" t="s">
        <v>88</v>
      </c>
      <c r="L77" s="55"/>
      <c r="M77" s="103"/>
      <c r="N77" s="103"/>
      <c r="O77" s="103"/>
      <c r="P77" s="56"/>
    </row>
    <row r="78" spans="6:16" ht="16.5" thickTop="1" thickBot="1">
      <c r="F78" s="76" t="s">
        <v>134</v>
      </c>
      <c r="G78" s="43"/>
      <c r="H78" s="107"/>
      <c r="I78" s="107"/>
      <c r="J78" s="56"/>
      <c r="L78" s="76" t="str" cm="1">
        <f t="array" ref="L78:L83">CultCost05[[#All],[Afschrijving &amp; aflossing teeltinvesteringen]]</f>
        <v>Afschrijving &amp; aflossing teeltinvesteringen</v>
      </c>
      <c r="M78" s="63" t="s">
        <v>112</v>
      </c>
      <c r="N78" s="64" t="s">
        <v>111</v>
      </c>
      <c r="O78" s="46">
        <f>SUM(O81,O83)</f>
        <v>170.75</v>
      </c>
      <c r="P78" s="111" t="s">
        <v>88</v>
      </c>
    </row>
    <row r="79" spans="6:16" ht="16.5" thickTop="1" thickBot="1">
      <c r="F79" s="76"/>
      <c r="G79" s="49" t="s">
        <v>129</v>
      </c>
      <c r="H79" s="45"/>
      <c r="I79" s="107" cm="1">
        <f t="array" ref="I79">IF(ISBLANK(H79),INDEX(Plantgoed[[Geen]:[Waarde MIN]],_xlfn.XMATCH('Gewas vrij invulbaar'!F65,Plantgoed[Plantgoed]),_xlfn.XMATCH('Gewas vrij invulbaar'!G79,Plantgoed[[#Headers],[Geen]:[Waarde MIN]])),H79)</f>
        <v>9000</v>
      </c>
      <c r="J79" s="56" t="s">
        <v>88</v>
      </c>
      <c r="L79" s="55" t="str">
        <v>Rentepercentage (wel/geen lening)</v>
      </c>
      <c r="M79" s="49" t="s">
        <v>114</v>
      </c>
      <c r="N79" s="50"/>
      <c r="O79" s="47" cm="1">
        <f t="array" ref="O79">IF(ISBLANK(N79),INDEX(CultCost05[[#All],[Geen]:[Waarde MIN]],_xlfn.XMATCH('Gewas vrij invulbaar'!L79,CultCost05[[#All],[Afschrijving &amp; aflossing teeltinvesteringen]]),_xlfn.XMATCH('Gewas vrij invulbaar'!M79,CultCost05[[#Headers],[Geen]:[Waarde MIN]])),N79)</f>
        <v>0</v>
      </c>
      <c r="P79" s="56"/>
    </row>
    <row r="80" spans="6:16" ht="16.5" thickTop="1" thickBot="1">
      <c r="F80" s="57"/>
      <c r="G80" s="104"/>
      <c r="H80" s="104"/>
      <c r="I80" s="104"/>
      <c r="J80" s="58"/>
      <c r="L80" s="55" t="str">
        <v>Afschrijvingstermijn - Investeringen perceel</v>
      </c>
      <c r="M80" s="49" t="s">
        <v>126</v>
      </c>
      <c r="N80" s="45">
        <v>15</v>
      </c>
      <c r="O80" s="43" cm="1">
        <f t="array" ref="O80">IF(ISBLANK(N80),INDEX(CultCost05[[#All],[Geen]:[Waarde MIN]],_xlfn.XMATCH('Gewas vrij invulbaar'!L80,CultCost05[[#All],[Afschrijving &amp; aflossing teeltinvesteringen]]),_xlfn.XMATCH('Gewas vrij invulbaar'!M80,CultCost05[[#Headers],[Geen]:[Waarde MIN]])),N80)</f>
        <v>15</v>
      </c>
      <c r="P80" s="56" t="s">
        <v>135</v>
      </c>
    </row>
    <row r="81" spans="2:26" ht="16.5" thickTop="1" thickBot="1">
      <c r="I81"/>
      <c r="L81" s="55" t="str">
        <v>Teeltinvesteringen perceel - jaarlijkse afschrijving</v>
      </c>
      <c r="M81" s="43">
        <f>-PMT(O79,O80,I45)</f>
        <v>26.666666666666668</v>
      </c>
      <c r="N81" s="45"/>
      <c r="O81" s="107">
        <f>IF(ISBLANK(N81),M81,N81)</f>
        <v>26.666666666666668</v>
      </c>
      <c r="P81" s="56" t="s">
        <v>88</v>
      </c>
    </row>
    <row r="82" spans="2:26" ht="16.5" thickTop="1" thickBot="1">
      <c r="I82"/>
      <c r="L82" s="55" t="str">
        <v>Afschrijvingstermijn - Plant/zaaikosten</v>
      </c>
      <c r="M82" s="49" t="s">
        <v>79</v>
      </c>
      <c r="N82" s="45">
        <v>15</v>
      </c>
      <c r="O82" s="43" cm="1">
        <f t="array" ref="O82">IF(ISBLANK(N82),INDEX(CultCost05[[#All],[Geen]:[Waarde MIN]],_xlfn.XMATCH('Gewas vrij invulbaar'!L82,CultCost05[[#All],[Afschrijving &amp; aflossing teeltinvesteringen]]),_xlfn.XMATCH('Gewas vrij invulbaar'!M82,CultCost05[[#Headers],[Geen]:[Waarde MIN]])),N82)</f>
        <v>15</v>
      </c>
      <c r="P82" s="56" t="s">
        <v>135</v>
      </c>
    </row>
    <row r="83" spans="2:26" ht="16" thickTop="1">
      <c r="I83"/>
      <c r="L83" s="55" t="str">
        <v>Plant/zaaikosten - jaarlijkse afschrijving</v>
      </c>
      <c r="M83" s="43">
        <f>-PMT(O79,O82,I66)</f>
        <v>144.08333333333334</v>
      </c>
      <c r="N83" s="45"/>
      <c r="O83" s="107">
        <f>IF(ISBLANK(N83),M83,N83)</f>
        <v>144.08333333333334</v>
      </c>
      <c r="P83" s="56" t="s">
        <v>88</v>
      </c>
    </row>
    <row r="84" spans="2:26">
      <c r="I84"/>
      <c r="L84" s="57"/>
      <c r="M84" s="104"/>
      <c r="N84" s="104"/>
      <c r="O84" s="104"/>
      <c r="P84" s="58"/>
    </row>
    <row r="85" spans="2:26">
      <c r="I85"/>
    </row>
    <row r="86" spans="2:26" s="75" customFormat="1" ht="17">
      <c r="B86" s="74" t="s">
        <v>136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8" spans="2:26" ht="16" thickBot="1">
      <c r="B88" s="61" t="s">
        <v>137</v>
      </c>
      <c r="C88" s="105"/>
      <c r="D88" s="60"/>
      <c r="F88" s="61" t="s">
        <v>138</v>
      </c>
      <c r="G88" s="54" t="str">
        <f>F65</f>
        <v>Silphie</v>
      </c>
      <c r="H88" s="105"/>
      <c r="I88" s="80"/>
      <c r="J88" s="60"/>
      <c r="L88" s="121" t="s">
        <v>139</v>
      </c>
      <c r="M88" s="105"/>
      <c r="N88" s="105"/>
      <c r="O88" s="105"/>
      <c r="P88" s="60"/>
    </row>
    <row r="89" spans="2:26" ht="16.5" thickTop="1" thickBot="1">
      <c r="B89" s="81"/>
      <c r="C89" s="103"/>
      <c r="D89" s="56"/>
      <c r="F89" s="76"/>
      <c r="G89" s="63" t="s">
        <v>112</v>
      </c>
      <c r="H89" s="64" t="s">
        <v>111</v>
      </c>
      <c r="I89" s="43"/>
      <c r="J89" s="56"/>
      <c r="L89" s="55" t="s">
        <v>139</v>
      </c>
      <c r="M89" s="49" t="s">
        <v>216</v>
      </c>
      <c r="N89" s="103"/>
      <c r="O89" s="103"/>
      <c r="P89" s="56"/>
    </row>
    <row r="90" spans="2:26" ht="16.5" thickTop="1" thickBot="1">
      <c r="B90" s="76" t="s">
        <v>141</v>
      </c>
      <c r="C90" s="340" t="s">
        <v>109</v>
      </c>
      <c r="D90" s="341"/>
      <c r="F90" s="122" t="str">
        <f>_xlfn.XLOOKUP(G88,Gewasopbrengst_0[Gewasopbrengst gehele plant],Gewasopbrengst_0[Gewasopbrengst 1])</f>
        <v>Gehele plant</v>
      </c>
      <c r="G90" s="49" t="s">
        <v>79</v>
      </c>
      <c r="H90" s="45"/>
      <c r="I90" s="128" cm="1">
        <f t="array" ref="I90">IF(ISBLANK(H90),INDEX(Gewasopbrengst_1[[Geen]:[Waarde MIN]],_xlfn.XMATCH('Gewas vrij invulbaar'!G88,Gewasopbrengst_1[Gewasopbrengst 1]),_xlfn.XMATCH('Gewas vrij invulbaar'!G90,Gewasopbrengst_1[[#Headers],[Geen]:[Waarde MIN]])),H90)</f>
        <v>15</v>
      </c>
      <c r="J90" s="56" t="s">
        <v>142</v>
      </c>
      <c r="L90" s="76" t="s">
        <v>143</v>
      </c>
      <c r="M90" s="103"/>
      <c r="N90" s="103"/>
      <c r="O90" s="103"/>
      <c r="P90" s="56"/>
    </row>
    <row r="91" spans="2:26" ht="16.5" thickTop="1" thickBot="1">
      <c r="B91" s="55" t="str">
        <f>F90</f>
        <v>Gehele plant</v>
      </c>
      <c r="C91" s="130">
        <f>I90</f>
        <v>15</v>
      </c>
      <c r="D91" s="56" t="s">
        <v>142</v>
      </c>
      <c r="F91" s="122" t="str">
        <f>_xlfn.XLOOKUP(G88,Gewasopbrengst_0[Gewasopbrengst gehele plant],Gewasopbrengst_0[Gewasopbrengst 2])</f>
        <v>Opbrengst 2</v>
      </c>
      <c r="G91" s="49" t="s">
        <v>114</v>
      </c>
      <c r="H91" s="201"/>
      <c r="I91" s="129" cm="1">
        <f t="array" ref="I91">IF(ISBLANK(H91),INDEX(Gewasopbrengst_2[[Geen]:[Waarde MIN]],_xlfn.XMATCH('Gewas vrij invulbaar'!G88,Gewasopbrengst_2[Gewasopbrengst 2]),_xlfn.XMATCH('Gewas vrij invulbaar'!G91,Gewasopbrengst_2[[#Headers],[Geen]:[Waarde MIN]])),H91)</f>
        <v>0</v>
      </c>
      <c r="J91" s="56" t="s">
        <v>142</v>
      </c>
      <c r="L91" s="122" t="str">
        <f>F90</f>
        <v>Gehele plant</v>
      </c>
      <c r="M91" s="49" t="s">
        <v>79</v>
      </c>
      <c r="N91" s="45"/>
      <c r="O91" s="47" cm="1">
        <f t="array" ref="O91">IF(ISBLANK(N91),INDEX(GehalteDS_1[[Geen]:[Waarde MIN]],_xlfn.XMATCH('Gewas vrij invulbaar'!G88,GehalteDS_1[DS-gehalte 1]),_xlfn.XMATCH('Gewas vrij invulbaar'!M91,GehalteDS_1[[#Headers],[Geen]:[Waarde MIN]])),N91)</f>
        <v>0.6</v>
      </c>
      <c r="P91" s="56" t="s">
        <v>144</v>
      </c>
    </row>
    <row r="92" spans="2:26" ht="16.5" thickTop="1" thickBot="1">
      <c r="B92" s="55" t="str">
        <f>F91</f>
        <v>Opbrengst 2</v>
      </c>
      <c r="C92" s="130">
        <f>I91</f>
        <v>0</v>
      </c>
      <c r="D92" s="56" t="s">
        <v>142</v>
      </c>
      <c r="F92" s="55"/>
      <c r="G92" s="103"/>
      <c r="H92" s="103"/>
      <c r="I92" s="43"/>
      <c r="J92" s="56"/>
      <c r="L92" s="122" t="str">
        <f>F91</f>
        <v>Opbrengst 2</v>
      </c>
      <c r="M92" s="49" t="s">
        <v>126</v>
      </c>
      <c r="N92" s="201"/>
      <c r="O92" s="216" cm="1">
        <f t="array" ref="O92">IF(ISBLANK(N92),INDEX(GehalteDS_2[[Geen]:[Waarde MIN]],_xlfn.XMATCH('Gewas vrij invulbaar'!G88,GehalteDS_2[DS-gehalte 2]),_xlfn.XMATCH('Gewas vrij invulbaar'!M92,GehalteDS_2[[#Headers],[Geen]:[Waarde MIN]])),N92)</f>
        <v>0</v>
      </c>
      <c r="P92" s="56" t="s">
        <v>144</v>
      </c>
    </row>
    <row r="93" spans="2:26" ht="16.5" thickTop="1" thickBot="1">
      <c r="B93" s="55"/>
      <c r="C93" s="103"/>
      <c r="D93" s="56"/>
      <c r="F93" s="76" t="s">
        <v>145</v>
      </c>
      <c r="G93" s="63" t="s">
        <v>112</v>
      </c>
      <c r="H93" s="64" t="s">
        <v>111</v>
      </c>
      <c r="I93" s="43"/>
      <c r="J93" s="56"/>
      <c r="L93" s="55"/>
      <c r="M93" s="103"/>
      <c r="N93" s="103"/>
      <c r="O93" s="103"/>
      <c r="P93" s="56"/>
    </row>
    <row r="94" spans="2:26" ht="16.5" thickTop="1" thickBot="1">
      <c r="B94" s="76" t="str">
        <f>F93</f>
        <v xml:space="preserve">Opbrengstprijzen </v>
      </c>
      <c r="C94" s="340" t="s">
        <v>109</v>
      </c>
      <c r="D94" s="341"/>
      <c r="F94" s="55" t="str">
        <f>F90</f>
        <v>Gehele plant</v>
      </c>
      <c r="G94" s="49" t="s">
        <v>79</v>
      </c>
      <c r="H94" s="45"/>
      <c r="I94" s="43" cm="1">
        <f t="array" ref="I94">IF(ISBLANK(H94),INDEX(Opbrengstprijs_1[[Geen]:[Waarde MIN]],_xlfn.XMATCH('Gewas vrij invulbaar'!G88,Opbrengstprijs_1[Opbrengstprijs 1]),_xlfn.XMATCH('Gewas vrij invulbaar'!G94,Opbrengstprijs_1[[#Headers],[Geen]:[Waarde MIN]])),H94)</f>
        <v>138</v>
      </c>
      <c r="J94" s="56" t="s">
        <v>146</v>
      </c>
      <c r="L94" s="55" t="s">
        <v>147</v>
      </c>
      <c r="M94" s="49" t="s">
        <v>148</v>
      </c>
      <c r="N94" s="103"/>
      <c r="O94" s="103"/>
      <c r="P94" s="56"/>
    </row>
    <row r="95" spans="2:26" ht="16.5" thickTop="1" thickBot="1">
      <c r="B95" s="55" t="str">
        <f>F94</f>
        <v>Gehele plant</v>
      </c>
      <c r="C95" s="43">
        <f>I94*I90</f>
        <v>2070</v>
      </c>
      <c r="D95" s="56" t="s">
        <v>149</v>
      </c>
      <c r="F95" s="55" t="str">
        <f>F91</f>
        <v>Opbrengst 2</v>
      </c>
      <c r="G95" s="49" t="s">
        <v>126</v>
      </c>
      <c r="H95" s="201"/>
      <c r="I95" s="107" cm="1">
        <f t="array" ref="I95">IF(ISBLANK(H95),INDEX(Opbrengstprijs_2[[Geen]:[Waarde MIN]],_xlfn.XMATCH('Gewas vrij invulbaar'!G88,Opbrengstprijs_2[Opbrengstprijs 2]),_xlfn.XMATCH('Gewas vrij invulbaar'!G95,Opbrengstprijs_2[[#Headers],[Geen]:[Waarde MIN]])),H95)</f>
        <v>0</v>
      </c>
      <c r="J95" s="56" t="s">
        <v>146</v>
      </c>
      <c r="L95" s="55"/>
      <c r="M95" s="103"/>
      <c r="N95" s="103"/>
      <c r="O95" s="103"/>
      <c r="P95" s="56"/>
    </row>
    <row r="96" spans="2:26" ht="16" thickTop="1">
      <c r="B96" s="55" t="str">
        <f>F95</f>
        <v>Opbrengst 2</v>
      </c>
      <c r="C96" s="43">
        <f>I95*I91</f>
        <v>0</v>
      </c>
      <c r="D96" s="56" t="s">
        <v>149</v>
      </c>
      <c r="F96" s="215"/>
      <c r="G96" s="104"/>
      <c r="H96" s="104"/>
      <c r="I96" s="118"/>
      <c r="J96" s="58"/>
      <c r="L96" s="76" t="s">
        <v>150</v>
      </c>
      <c r="M96" s="63" t="s">
        <v>112</v>
      </c>
      <c r="N96" s="64" t="s">
        <v>111</v>
      </c>
      <c r="O96" s="103"/>
      <c r="P96" s="56"/>
    </row>
    <row r="97" spans="2:16">
      <c r="B97" s="55"/>
      <c r="C97" s="103"/>
      <c r="D97" s="56"/>
      <c r="L97" s="114" t="s">
        <v>151</v>
      </c>
      <c r="M97" s="120">
        <f>_xlfn.XLOOKUP(M94,B91:B92,C91:C92)</f>
        <v>15</v>
      </c>
      <c r="N97" s="135"/>
      <c r="O97" s="108">
        <f>IF(M89="Ja",IF(ISBLANK(N97),M97,N97),0)</f>
        <v>0</v>
      </c>
      <c r="P97" s="112" t="s">
        <v>152</v>
      </c>
    </row>
    <row r="98" spans="2:16" s="195" customFormat="1">
      <c r="B98" s="76" t="s">
        <v>153</v>
      </c>
      <c r="C98" s="340" t="s">
        <v>109</v>
      </c>
      <c r="D98" s="341"/>
      <c r="F98" s="165" t="s">
        <v>154</v>
      </c>
      <c r="G98" s="166"/>
      <c r="H98" s="166"/>
      <c r="I98" s="175"/>
      <c r="J98" s="167"/>
      <c r="L98" s="114"/>
      <c r="M98" s="73"/>
      <c r="N98" s="73"/>
      <c r="O98" s="127">
        <f>_xlfn.XLOOKUP(M94,L91:L92,O91:O92)</f>
        <v>0.6</v>
      </c>
      <c r="P98" s="112" t="s">
        <v>144</v>
      </c>
    </row>
    <row r="99" spans="2:16" ht="16" thickBot="1">
      <c r="B99" s="55" t="str">
        <f>F100</f>
        <v>Oogstkosten Gehele plant</v>
      </c>
      <c r="C99" s="42">
        <f>I100</f>
        <v>304.14999999999998</v>
      </c>
      <c r="D99" s="56" t="s">
        <v>88</v>
      </c>
      <c r="F99" s="168"/>
      <c r="G99" s="103"/>
      <c r="H99" s="103"/>
      <c r="I99" s="43"/>
      <c r="J99" s="176"/>
      <c r="L99" s="125" t="s">
        <v>155</v>
      </c>
      <c r="M99" s="73"/>
      <c r="N99" s="73"/>
      <c r="O99" s="107">
        <f>IFERROR(O97/O98,0)</f>
        <v>0</v>
      </c>
      <c r="P99" s="56" t="s">
        <v>156</v>
      </c>
    </row>
    <row r="100" spans="2:16" ht="16.5" thickTop="1" thickBot="1">
      <c r="B100" s="55" t="str">
        <f>F110</f>
        <v>Opslag - Plant/blad &amp; stengelmateriaal</v>
      </c>
      <c r="C100" s="42">
        <f>IFERROR(#REF!/#REF!,0)</f>
        <v>0</v>
      </c>
      <c r="D100" s="56" t="s">
        <v>88</v>
      </c>
      <c r="F100" s="189" t="str">
        <f>_xlfn.CONCAT("Oogstkosten ",F90)</f>
        <v>Oogstkosten Gehele plant</v>
      </c>
      <c r="G100" s="63" t="s">
        <v>112</v>
      </c>
      <c r="H100" s="64" t="s">
        <v>111</v>
      </c>
      <c r="I100" s="41">
        <f>SUM(I106,I103)</f>
        <v>304.14999999999998</v>
      </c>
      <c r="J100" s="177" t="s">
        <v>88</v>
      </c>
      <c r="L100" s="114" t="str">
        <f>'DATA - Variabelen &amp; waarden'!B383</f>
        <v xml:space="preserve">Drogestofgehalte output </v>
      </c>
      <c r="M100" s="49" t="s">
        <v>79</v>
      </c>
      <c r="N100" s="45"/>
      <c r="O100" s="127" cm="1">
        <f t="array" ref="O100">IF(ISBLANK(N100),INDEX(VoorDroog[[#All],[Geen]:[Waarde MIN]],_xlfn.XMATCH('Gewas vrij invulbaar'!L100,VoorDroog[[#All],[Voordrogen]]),_xlfn.XMATCH('Gewas vrij invulbaar'!M100,VoorDroog[[#Headers],[Geen]:[Waarde MIN]])),N100)</f>
        <v>0.9</v>
      </c>
      <c r="P100" s="112" t="s">
        <v>144</v>
      </c>
    </row>
    <row r="101" spans="2:16" ht="16.5" thickTop="1" thickBot="1">
      <c r="B101" s="55" t="str">
        <f>F117</f>
        <v>Oogstkosten Opbrengst 2</v>
      </c>
      <c r="C101" s="42">
        <f>I117</f>
        <v>0</v>
      </c>
      <c r="D101" s="56" t="s">
        <v>88</v>
      </c>
      <c r="F101" s="185" t="s">
        <v>213</v>
      </c>
      <c r="G101" s="49" t="s">
        <v>79</v>
      </c>
      <c r="H101" s="45"/>
      <c r="I101" s="108" cm="1">
        <f t="array" ref="I101">IF(ISBLANK(H101),INDEX(HarvestCost01[[#All],[Geen]:[Waarde MIN]],_xlfn.XMATCH('Gewas vrij invulbaar'!F101,HarvestCost01[[#All],[Oogst - tarief - Gehele plant/blad &amp; stengelmateriaal]]),_xlfn.XMATCH('Gewas vrij invulbaar'!G101,HarvestCost01[[#Headers],[Geen]:[Waarde MIN]])),H101)</f>
        <v>317</v>
      </c>
      <c r="J101" s="181" t="s">
        <v>117</v>
      </c>
      <c r="L101" s="125" t="s">
        <v>158</v>
      </c>
      <c r="M101" s="103"/>
      <c r="N101" s="103"/>
      <c r="O101" s="42">
        <f>IFERROR(IF($O$98&lt;$O$100,O97/O100,0),0)</f>
        <v>0</v>
      </c>
      <c r="P101" s="56" t="s">
        <v>156</v>
      </c>
    </row>
    <row r="102" spans="2:16" ht="16.5" thickTop="1" thickBot="1">
      <c r="B102" s="55" t="str">
        <f>F127</f>
        <v>Opslag - Zaden</v>
      </c>
      <c r="C102" s="42">
        <f>IFERROR(#REF!/#REF!,0)</f>
        <v>0</v>
      </c>
      <c r="D102" s="56" t="s">
        <v>88</v>
      </c>
      <c r="F102" s="179" t="s">
        <v>159</v>
      </c>
      <c r="G102" s="49" t="s">
        <v>126</v>
      </c>
      <c r="H102" s="45"/>
      <c r="I102" s="187" cm="1">
        <f t="array" ref="I102">IF(ISBLANK(H102),INDEX('DATA - Variabelen &amp; waarden'!D298:G307,_xlfn.XMATCH('Gewas vrij invulbaar'!F101,'DATA - Variabelen &amp; waarden'!B298:B307),_xlfn.XMATCH('Gewas vrij invulbaar'!G102,'DATA - Variabelen &amp; waarden'!D298:G298)),H102)</f>
        <v>0.75</v>
      </c>
      <c r="J102" s="188" t="s">
        <v>116</v>
      </c>
      <c r="L102" s="134" t="s">
        <v>160</v>
      </c>
      <c r="M102" s="132"/>
      <c r="N102" s="132"/>
      <c r="O102" s="144">
        <f>IF(O98&lt;O100,O99-O101,0)</f>
        <v>0</v>
      </c>
      <c r="P102" s="133" t="s">
        <v>156</v>
      </c>
    </row>
    <row r="103" spans="2:16" ht="16.5" thickTop="1" thickBot="1">
      <c r="B103" s="145" t="s">
        <v>161</v>
      </c>
      <c r="C103" s="42">
        <f>IFERROR(#REF!/#REF!,0)</f>
        <v>0</v>
      </c>
      <c r="D103" s="146" t="s">
        <v>88</v>
      </c>
      <c r="F103" s="186" t="s">
        <v>162</v>
      </c>
      <c r="G103" s="173">
        <f>I101*I102</f>
        <v>237.75</v>
      </c>
      <c r="H103" s="45"/>
      <c r="I103" s="107">
        <f>IF(ISBLANK(H103),G103,H103)</f>
        <v>237.75</v>
      </c>
      <c r="J103" s="162" t="s">
        <v>88</v>
      </c>
      <c r="L103" s="55" t="s">
        <v>163</v>
      </c>
      <c r="M103" s="49" t="s">
        <v>129</v>
      </c>
      <c r="N103" s="142"/>
      <c r="O103" s="48" cm="1">
        <f t="array" ref="O103">IF(ISBLANK(N103),_xlfn.XLOOKUP(M103,Tabel37[[#Headers],[Geen]:[Waarde MIN]],'DATA - Variabelen &amp; waarden'!D415:G415,"Selecteer waarde"),N103)</f>
        <v>10</v>
      </c>
      <c r="P103" s="56" t="s">
        <v>164</v>
      </c>
    </row>
    <row r="104" spans="2:16" ht="16.5" thickTop="1" thickBot="1">
      <c r="B104" s="78" t="s">
        <v>165</v>
      </c>
      <c r="C104" s="147">
        <f>SUM(C99:C103)</f>
        <v>304.14999999999998</v>
      </c>
      <c r="D104" s="217" t="s">
        <v>88</v>
      </c>
      <c r="F104" s="179" t="str">
        <f>HarvestCost11[[#Headers],[Veld &amp; opslaglogistiek - tarief - Gehele plant/blad &amp; stengelmateriaal]]</f>
        <v>Veld &amp; opslaglogistiek - tarief - Gehele plant/blad &amp; stengelmateriaal</v>
      </c>
      <c r="G104" s="49" t="s">
        <v>79</v>
      </c>
      <c r="H104" s="45"/>
      <c r="I104" s="187" cm="1">
        <f t="array" ref="I104">IF(ISBLANK(H104),_xlfn.XLOOKUP(G104,HarvestCost11[[#Headers],[Geen]:[Waarde MIN]],HarvestCost11[[#Totals],[Geen]:[Waarde MIN]]),H104)</f>
        <v>80</v>
      </c>
      <c r="J104" s="188" t="s">
        <v>117</v>
      </c>
      <c r="L104" s="55"/>
      <c r="M104" s="103"/>
      <c r="N104" s="103"/>
      <c r="O104" s="103"/>
      <c r="P104" s="56"/>
    </row>
    <row r="105" spans="2:16" ht="16.5" thickTop="1" thickBot="1">
      <c r="F105" s="179" t="s">
        <v>166</v>
      </c>
      <c r="G105" s="49" t="s">
        <v>79</v>
      </c>
      <c r="H105" s="45"/>
      <c r="I105" s="187" cm="1">
        <f t="array" ref="I105">IF(ISBLANK(H105),INDEX('DATA - Variabelen &amp; waarden'!D298:G307,_xlfn.XMATCH('Gewas vrij invulbaar'!F101,'DATA - Variabelen &amp; waarden'!B298:B307),_xlfn.XMATCH('Gewas vrij invulbaar'!G105,'DATA - Variabelen &amp; waarden'!D298:G298)),H105)</f>
        <v>0.83</v>
      </c>
      <c r="J105" s="188" t="s">
        <v>116</v>
      </c>
      <c r="L105" s="76" t="s">
        <v>167</v>
      </c>
      <c r="M105" s="63" t="s">
        <v>112</v>
      </c>
      <c r="N105" s="64" t="s">
        <v>111</v>
      </c>
      <c r="O105" s="103"/>
      <c r="P105" s="56"/>
    </row>
    <row r="106" spans="2:16" ht="16.5" thickTop="1" thickBot="1">
      <c r="F106" s="186" t="s">
        <v>168</v>
      </c>
      <c r="G106" s="173">
        <f>I104*I105</f>
        <v>66.399999999999991</v>
      </c>
      <c r="H106" s="45"/>
      <c r="I106" s="107">
        <f>IF(ISBLANK(H106),G106,H106)</f>
        <v>66.399999999999991</v>
      </c>
      <c r="J106" s="162" t="s">
        <v>88</v>
      </c>
      <c r="L106" s="114" t="s">
        <v>169</v>
      </c>
      <c r="M106" s="73"/>
      <c r="N106" s="45">
        <v>25</v>
      </c>
      <c r="O106" s="73">
        <f>N106</f>
        <v>25</v>
      </c>
      <c r="P106" s="112" t="s">
        <v>170</v>
      </c>
    </row>
    <row r="107" spans="2:16" ht="16.5" thickTop="1" thickBot="1">
      <c r="F107" s="160"/>
      <c r="G107" s="161"/>
      <c r="H107" s="161"/>
      <c r="I107" s="173"/>
      <c r="J107" s="162"/>
      <c r="L107" s="138" t="s">
        <v>171</v>
      </c>
      <c r="M107" s="49" t="s">
        <v>79</v>
      </c>
      <c r="N107" s="45"/>
      <c r="O107" s="137" cm="1">
        <f t="array" ref="O107">IF(ISBLANK(N107),INDEX(ProcesCost01[[#All],[Geen]:[Waarde MIN]],_xlfn.XMATCH('Gewas vrij invulbaar'!L107,ProcesCost01[[#All],[Transportkosten]]),_xlfn.XMATCH('Gewas vrij invulbaar'!M107,ProcesCost01[[#Headers],[Geen]:[Waarde MIN]])),N107)</f>
        <v>0.12</v>
      </c>
      <c r="P107" s="112" t="s">
        <v>172</v>
      </c>
    </row>
    <row r="108" spans="2:16" ht="16.5" thickTop="1" thickBot="1">
      <c r="F108" s="189" t="str">
        <f>_xlfn.CONCAT("Bewaarmethode ",F90)</f>
        <v>Bewaarmethode Gehele plant</v>
      </c>
      <c r="G108" s="103"/>
      <c r="H108" s="103"/>
      <c r="I108" s="43"/>
      <c r="J108" s="176"/>
      <c r="L108" s="125" t="s">
        <v>173</v>
      </c>
      <c r="M108" s="103"/>
      <c r="N108" s="45"/>
      <c r="O108" s="107">
        <f>IF(ISBLANK(N108),IF($O$98&lt;$O$100,O106*O107*O99,0),N108)</f>
        <v>0</v>
      </c>
      <c r="P108" s="56" t="s">
        <v>174</v>
      </c>
    </row>
    <row r="109" spans="2:16" ht="16.5" thickTop="1" thickBot="1">
      <c r="F109" s="178" t="s">
        <v>218</v>
      </c>
      <c r="G109" s="49" t="s">
        <v>79</v>
      </c>
      <c r="H109" s="45"/>
      <c r="I109" s="43" cm="1">
        <f t="array" ref="I109">IF(ISBLANK(H109),INDEX(Stock1[[#All],[Geen]:[Waarde MIN]],_xlfn.XMATCH('Gewas vrij invulbaar'!F109,Stock1[[#All],[Bewaarmethode - Plant/blad &amp; stengelmateriaal]]),_xlfn.XMATCH('Gewas vrij invulbaar'!G109,Stock1[[#Headers],[Geen]:[Waarde MIN]])),H109)</f>
        <v>35</v>
      </c>
      <c r="J109" s="176" t="s">
        <v>176</v>
      </c>
      <c r="L109" s="122"/>
      <c r="M109" s="103"/>
      <c r="N109" s="103"/>
      <c r="O109" s="103"/>
      <c r="P109" s="56"/>
    </row>
    <row r="110" spans="2:16" ht="16.5" thickTop="1" thickBot="1">
      <c r="F110" s="189" t="str">
        <f>Stock11[[#Headers],[Opslag - Plant/blad &amp; stengelmateriaal]]</f>
        <v>Opslag - Plant/blad &amp; stengelmateriaal</v>
      </c>
      <c r="G110" s="103"/>
      <c r="H110" s="103"/>
      <c r="I110" s="43"/>
      <c r="J110" s="176"/>
      <c r="L110" s="114" t="s">
        <v>177</v>
      </c>
      <c r="M110" s="73"/>
      <c r="N110" s="45"/>
      <c r="O110" s="73">
        <f>N110</f>
        <v>0</v>
      </c>
      <c r="P110" s="112" t="s">
        <v>170</v>
      </c>
    </row>
    <row r="111" spans="2:16" ht="16.5" thickTop="1" thickBot="1">
      <c r="F111" s="178" t="s">
        <v>114</v>
      </c>
      <c r="G111" s="49" t="s">
        <v>79</v>
      </c>
      <c r="H111" s="45"/>
      <c r="I111" s="48" cm="1">
        <f t="array" ref="I111">IF(ISBLANK(H111),INDEX(Stock11[[#All],[Geen]:[Waarde MIN]],_xlfn.XMATCH('Gewas vrij invulbaar'!F111,Stock11[[#All],[Opslag - Plant/blad &amp; stengelmateriaal]]),_xlfn.XMATCH('Gewas vrij invulbaar'!G111,Stock11[[#Headers],[Geen]:[Waarde MIN]])),H111)</f>
        <v>0</v>
      </c>
      <c r="J111" s="176" t="s">
        <v>176</v>
      </c>
      <c r="L111" s="138" t="s">
        <v>114</v>
      </c>
      <c r="M111" s="49" t="s">
        <v>79</v>
      </c>
      <c r="N111" s="45"/>
      <c r="O111" s="137" cm="1">
        <f t="array" ref="O111">IF(ISBLANK(N111),INDEX(ProcesCost01[[#All],[Geen]:[Waarde MIN]],_xlfn.XMATCH('Gewas vrij invulbaar'!L111,ProcesCost01[[#All],[Transportkosten]]),_xlfn.XMATCH('Gewas vrij invulbaar'!M111,ProcesCost01[[#Headers],[Geen]:[Waarde MIN]])),N111)</f>
        <v>0</v>
      </c>
      <c r="P111" s="112" t="s">
        <v>172</v>
      </c>
    </row>
    <row r="112" spans="2:16" ht="16.5" thickTop="1" thickBot="1">
      <c r="F112" s="180" t="s">
        <v>179</v>
      </c>
      <c r="G112" s="103"/>
      <c r="H112" s="103"/>
      <c r="I112" s="43"/>
      <c r="J112" s="176"/>
      <c r="L112" s="125" t="s">
        <v>180</v>
      </c>
      <c r="M112" s="103"/>
      <c r="N112" s="45"/>
      <c r="O112" s="107">
        <f>IF(ISBLANK(N112),O110*O111*O101,N112)</f>
        <v>0</v>
      </c>
      <c r="P112" s="56" t="s">
        <v>174</v>
      </c>
    </row>
    <row r="113" spans="6:16" ht="16.5" thickTop="1" thickBot="1">
      <c r="F113" s="178" t="s">
        <v>181</v>
      </c>
      <c r="G113" s="49" t="s">
        <v>79</v>
      </c>
      <c r="H113" s="45"/>
      <c r="I113" s="108" cm="1">
        <f t="array" ref="I113">IF(ISBLANK(H113),INDEX(StockBales[[#All],[Geen]:[Waarde MIN]],_xlfn.XMATCH(F113,StockBales[[#All],[DS inhoud balen ]]),_xlfn.XMATCH('Gewas vrij invulbaar'!G113,StockBales[[#Headers],[Geen]:[Waarde MIN]])),H113)</f>
        <v>299.70000000000005</v>
      </c>
      <c r="J113" s="181" t="s">
        <v>182</v>
      </c>
      <c r="L113" s="122"/>
      <c r="M113" s="103"/>
      <c r="N113" s="103"/>
      <c r="O113" s="103"/>
      <c r="P113" s="56"/>
    </row>
    <row r="114" spans="6:16" ht="16.5" thickTop="1" thickBot="1">
      <c r="F114" s="182" t="s">
        <v>183</v>
      </c>
      <c r="G114" s="103"/>
      <c r="H114" s="103"/>
      <c r="I114" s="107">
        <f>IF(OR(F109='DATA - Variabelen &amp; waarden'!B343,F109='DATA - Variabelen &amp; waarden'!B344,F109='DATA - Variabelen &amp; waarden'!B346),I113/1000*I109,0)</f>
        <v>0</v>
      </c>
      <c r="J114" s="176" t="s">
        <v>184</v>
      </c>
      <c r="L114" s="76" t="s">
        <v>185</v>
      </c>
      <c r="M114" s="63" t="s">
        <v>112</v>
      </c>
      <c r="N114" s="64" t="s">
        <v>111</v>
      </c>
      <c r="O114" s="103"/>
      <c r="P114" s="56"/>
    </row>
    <row r="115" spans="6:16" ht="16.5" thickTop="1" thickBot="1">
      <c r="F115" s="182" t="s">
        <v>186</v>
      </c>
      <c r="G115" s="103"/>
      <c r="H115" s="103"/>
      <c r="I115" s="117">
        <f>IF(OR(F111='DATA - Variabelen &amp; waarden'!B353,F111='DATA - Variabelen &amp; waarden'!B354,F111='DATA - Variabelen &amp; waarden'!B355),'Gewas vrij invulbaar'!I113/1000*'Gewas vrij invulbaar'!I111,0)</f>
        <v>0</v>
      </c>
      <c r="J115" s="176" t="s">
        <v>184</v>
      </c>
      <c r="L115" s="138" t="s">
        <v>187</v>
      </c>
      <c r="M115" s="49" t="s">
        <v>126</v>
      </c>
      <c r="N115" s="53">
        <v>250</v>
      </c>
      <c r="O115" s="140" cm="1">
        <f t="array" ref="O115">IF(ISBLANK(N115),INDEX(DryingCost1[[#All],[Geen]:[Waarde MIN]],_xlfn.XMATCH('Gewas vrij invulbaar'!L115,DryingCost1[[#All],[Drogen - Kosten]]),_xlfn.XMATCH('Gewas vrij invulbaar'!M115,DryingCost1[[#Headers],[Geen]:[Waarde MIN]])),N115)</f>
        <v>250</v>
      </c>
      <c r="P115" s="112" t="s">
        <v>188</v>
      </c>
    </row>
    <row r="116" spans="6:16" ht="16.5" thickTop="1" thickBot="1">
      <c r="F116" s="168"/>
      <c r="G116" s="103"/>
      <c r="H116" s="103"/>
      <c r="I116" s="43"/>
      <c r="J116" s="176"/>
      <c r="L116" s="124" t="s">
        <v>189</v>
      </c>
      <c r="M116" s="49" t="s">
        <v>79</v>
      </c>
      <c r="N116" s="52"/>
      <c r="O116" s="141" cm="1">
        <f t="array" ref="O116">IF(ISBLANK(N116),INDEX(DryingCost11[[#All],[Geen]:[Waarde MIN]],_xlfn.XMATCH('Gewas vrij invulbaar'!L115,DryingCost11[[#All],[Drogen - Producteffciency]]),_xlfn.XMATCH('Gewas vrij invulbaar'!M116,DryingCost11[[#Headers],[Geen]:[Waarde MIN]])),N116)</f>
        <v>1</v>
      </c>
      <c r="P116" s="112" t="s">
        <v>190</v>
      </c>
    </row>
    <row r="117" spans="6:16" ht="16.5" thickTop="1" thickBot="1">
      <c r="F117" s="189" t="str">
        <f>_xlfn.CONCAT("Oogstkosten ",F91)</f>
        <v>Oogstkosten Opbrengst 2</v>
      </c>
      <c r="G117" s="63" t="s">
        <v>112</v>
      </c>
      <c r="H117" s="64" t="s">
        <v>111</v>
      </c>
      <c r="I117" s="174">
        <f>SUM(I120,I123)</f>
        <v>0</v>
      </c>
      <c r="J117" s="177" t="s">
        <v>88</v>
      </c>
      <c r="L117" s="139" t="s">
        <v>185</v>
      </c>
      <c r="M117" s="103"/>
      <c r="N117" s="45"/>
      <c r="O117" s="107">
        <f>IF(ISBLANK(N117),O115*O102,N117)</f>
        <v>0</v>
      </c>
      <c r="P117" s="56" t="s">
        <v>174</v>
      </c>
    </row>
    <row r="118" spans="6:16" ht="16.5" thickTop="1" thickBot="1">
      <c r="F118" s="185" t="s">
        <v>114</v>
      </c>
      <c r="G118" s="49" t="s">
        <v>79</v>
      </c>
      <c r="H118" s="45"/>
      <c r="I118" s="187" cm="1">
        <f t="array" ref="I118">IF(ISBLANK(H118),INDEX(HarvestCost2[[#All],[Geen]:[Waarde MIN]],_xlfn.XMATCH('Gewas vrij invulbaar'!F118,HarvestCost2[[#All],[Oogst - tarief - Zaden]]),_xlfn.XMATCH('Gewas vrij invulbaar'!G118,HarvestCost2[[#Headers],[Geen]:[Waarde MIN]])),H118)</f>
        <v>0</v>
      </c>
      <c r="J118" s="181" t="s">
        <v>117</v>
      </c>
      <c r="L118" s="125" t="s">
        <v>191</v>
      </c>
      <c r="M118" s="103"/>
      <c r="N118" s="103"/>
      <c r="O118" s="42">
        <f>O101*O116</f>
        <v>0</v>
      </c>
      <c r="P118" s="56" t="s">
        <v>156</v>
      </c>
    </row>
    <row r="119" spans="6:16" ht="16.5" thickTop="1" thickBot="1">
      <c r="F119" s="191" t="s">
        <v>159</v>
      </c>
      <c r="G119" s="190" t="s">
        <v>79</v>
      </c>
      <c r="H119" s="45"/>
      <c r="I119" s="193" cm="1">
        <f t="array" ref="I119">IF(ISBLANK(H119),INDEX('DATA - Variabelen &amp; waarden'!D323:G329,_xlfn.XMATCH('Gewas vrij invulbaar'!F118,'DATA - Variabelen &amp; waarden'!B323:B329),_xlfn.XMATCH('Gewas vrij invulbaar'!G119,'DATA - Variabelen &amp; waarden'!D323:G323)),H119)</f>
        <v>0</v>
      </c>
      <c r="J119" s="194" t="s">
        <v>116</v>
      </c>
      <c r="L119" s="125" t="s">
        <v>192</v>
      </c>
      <c r="M119" s="103"/>
      <c r="N119" s="103"/>
      <c r="O119" s="42">
        <f>O101-O118</f>
        <v>0</v>
      </c>
      <c r="P119" s="56" t="s">
        <v>156</v>
      </c>
    </row>
    <row r="120" spans="6:16" ht="16.5" thickTop="1" thickBot="1">
      <c r="F120" s="186" t="s">
        <v>162</v>
      </c>
      <c r="G120" s="173">
        <f>I118*I119</f>
        <v>0</v>
      </c>
      <c r="H120" s="45"/>
      <c r="I120" s="107">
        <f>IF(ISBLANK(H120),G120,H120)</f>
        <v>0</v>
      </c>
      <c r="J120" s="162" t="s">
        <v>88</v>
      </c>
      <c r="L120" s="55"/>
      <c r="M120" s="103"/>
      <c r="N120" s="103"/>
      <c r="O120" s="103"/>
      <c r="P120" s="56"/>
    </row>
    <row r="121" spans="6:16" ht="18" customHeight="1" thickTop="1" thickBot="1">
      <c r="F121" s="179" t="str">
        <f>HarvestCost21[[#Headers],[Veld &amp; opslaglogistiek - tarief - Zaden]]</f>
        <v>Veld &amp; opslaglogistiek - tarief - Zaden</v>
      </c>
      <c r="G121" s="49" t="s">
        <v>114</v>
      </c>
      <c r="H121" s="45"/>
      <c r="I121" s="187" cm="1">
        <f t="array" ref="I121">IF(ISBLANK(H121),_xlfn.XLOOKUP(G121,HarvestCost21[[#Headers],[Geen]:[Waarde MIN]],HarvestCost21[[#Totals],[Geen]:[Waarde MIN]]),H121)</f>
        <v>0</v>
      </c>
      <c r="J121" s="188" t="s">
        <v>117</v>
      </c>
      <c r="L121" s="123" t="s">
        <v>80</v>
      </c>
      <c r="M121" s="103"/>
      <c r="N121" s="103"/>
      <c r="O121" s="103"/>
      <c r="P121" s="56"/>
    </row>
    <row r="122" spans="6:16" ht="16.5" thickTop="1" thickBot="1">
      <c r="F122" s="179" t="s">
        <v>166</v>
      </c>
      <c r="G122" s="49" t="s">
        <v>114</v>
      </c>
      <c r="H122" s="45"/>
      <c r="I122" s="192" cm="1">
        <f t="array" ref="I122">IF(ISBLANK(H122),INDEX('DATA - Variabelen &amp; waarden'!D323:G329,_xlfn.XMATCH('Gewas vrij invulbaar'!F118,'DATA - Variabelen &amp; waarden'!B323:B329),_xlfn.XMATCH('Gewas vrij invulbaar'!G122,'DATA - Variabelen &amp; waarden'!D323:G323)),H122)</f>
        <v>0</v>
      </c>
      <c r="J122" s="188" t="s">
        <v>116</v>
      </c>
      <c r="L122" s="122" t="s">
        <v>193</v>
      </c>
      <c r="M122" s="103"/>
      <c r="N122" s="103"/>
      <c r="O122" s="42">
        <f>O108</f>
        <v>0</v>
      </c>
      <c r="P122" s="56" t="s">
        <v>194</v>
      </c>
    </row>
    <row r="123" spans="6:16" ht="16" thickTop="1">
      <c r="F123" s="186" t="s">
        <v>168</v>
      </c>
      <c r="G123" s="183">
        <f>I121*I122</f>
        <v>0</v>
      </c>
      <c r="H123" s="45"/>
      <c r="I123" s="107">
        <f>IF(ISBLANK(H123),G123,H123)</f>
        <v>0</v>
      </c>
      <c r="J123" s="162" t="s">
        <v>88</v>
      </c>
      <c r="L123" s="122" t="s">
        <v>195</v>
      </c>
      <c r="M123" s="103"/>
      <c r="N123" s="103"/>
      <c r="O123" s="42">
        <f>O112</f>
        <v>0</v>
      </c>
      <c r="P123" s="56" t="s">
        <v>194</v>
      </c>
    </row>
    <row r="124" spans="6:16">
      <c r="F124" s="160"/>
      <c r="G124" s="161"/>
      <c r="H124" s="161"/>
      <c r="I124" s="161"/>
      <c r="J124" s="162"/>
      <c r="L124" s="55" t="s">
        <v>185</v>
      </c>
      <c r="M124" s="103"/>
      <c r="N124" s="103"/>
      <c r="O124" s="42">
        <f>O117</f>
        <v>0</v>
      </c>
      <c r="P124" s="56" t="s">
        <v>194</v>
      </c>
    </row>
    <row r="125" spans="6:16" ht="19" thickBot="1">
      <c r="F125" s="189" t="str">
        <f>_xlfn.CONCAT("Bewaarmethode ",F91)</f>
        <v>Bewaarmethode Opbrengst 2</v>
      </c>
      <c r="G125" s="103"/>
      <c r="H125" s="103"/>
      <c r="I125" s="173"/>
      <c r="J125" s="176"/>
      <c r="L125" s="131" t="s">
        <v>196</v>
      </c>
      <c r="M125" s="103"/>
      <c r="N125" s="103"/>
      <c r="O125" s="136">
        <f>O119*O103</f>
        <v>0</v>
      </c>
      <c r="P125" s="56" t="s">
        <v>194</v>
      </c>
    </row>
    <row r="126" spans="6:16" ht="16.5" thickTop="1" thickBot="1">
      <c r="F126" s="178" t="s">
        <v>197</v>
      </c>
      <c r="G126" s="49" t="s">
        <v>126</v>
      </c>
      <c r="H126" s="45"/>
      <c r="I126" s="43" cm="1">
        <f t="array" ref="I126">IF(ISBLANK(H126),INDEX(Stock1[[Geen]:[Waarde MIN]],_xlfn.XMATCH('Gewas vrij invulbaar'!F126,Stock1[Bewaarmethode - Plant/blad &amp; stengelmateriaal]),_xlfn.XMATCH('Gewas vrij invulbaar'!G126,Stock1[[#Headers],[Geen]:[Waarde MIN]])),H126)</f>
        <v>50</v>
      </c>
      <c r="J126" s="176" t="s">
        <v>176</v>
      </c>
      <c r="L126" s="143" t="s">
        <v>198</v>
      </c>
      <c r="M126" s="44"/>
      <c r="N126" s="44"/>
      <c r="O126" s="46">
        <f>SUM(O122:O125)</f>
        <v>0</v>
      </c>
      <c r="P126" s="111" t="s">
        <v>199</v>
      </c>
    </row>
    <row r="127" spans="6:16" ht="16.5" thickTop="1" thickBot="1">
      <c r="F127" s="189" t="str">
        <f>Stock21[[#Headers],[Opslag - Zaden]]</f>
        <v>Opslag - Zaden</v>
      </c>
      <c r="G127" s="103"/>
      <c r="H127" s="103"/>
      <c r="I127" s="43"/>
      <c r="J127" s="176"/>
      <c r="L127" s="125" t="s">
        <v>200</v>
      </c>
      <c r="M127" s="103"/>
      <c r="N127" s="103"/>
      <c r="O127" s="107">
        <f>IFERROR(O126/O118,0)</f>
        <v>0</v>
      </c>
      <c r="P127" s="56" t="s">
        <v>164</v>
      </c>
    </row>
    <row r="128" spans="6:16" ht="16.5" thickTop="1" thickBot="1">
      <c r="F128" s="178" t="s">
        <v>201</v>
      </c>
      <c r="G128" s="49" t="s">
        <v>79</v>
      </c>
      <c r="H128" s="45"/>
      <c r="I128" s="48" cm="1">
        <f t="array" ref="I128">IF(ISBLANK(H128),INDEX(Stock21[[#All],[Geen]:[Waarde MIN]],_xlfn.XMATCH('Gewas vrij invulbaar'!F128,Stock21[[#All],[Opslag - Zaden]]),_xlfn.XMATCH('Gewas vrij invulbaar'!G128,Stock21[[#Headers],[Geen]:[Waarde MIN]])),H128)</f>
        <v>8</v>
      </c>
      <c r="J128" s="176" t="s">
        <v>176</v>
      </c>
      <c r="L128" s="55"/>
      <c r="M128" s="103"/>
      <c r="N128" s="103"/>
      <c r="O128" s="103"/>
      <c r="P128" s="56"/>
    </row>
    <row r="129" spans="2:16" ht="16.5" thickTop="1" thickBot="1">
      <c r="F129" s="184" t="s">
        <v>202</v>
      </c>
      <c r="G129" s="103"/>
      <c r="H129" s="103"/>
      <c r="I129" s="43"/>
      <c r="J129" s="176"/>
      <c r="L129" s="55"/>
      <c r="M129" s="103"/>
      <c r="N129" s="103"/>
      <c r="O129" s="103"/>
      <c r="P129" s="56"/>
    </row>
    <row r="130" spans="2:16" ht="16.5" thickTop="1" thickBot="1">
      <c r="F130" s="178" t="s">
        <v>203</v>
      </c>
      <c r="G130" s="49" t="s">
        <v>129</v>
      </c>
      <c r="H130" s="45"/>
      <c r="I130" s="108" cm="1">
        <f t="array" ref="I130">IF(ISBLANK(H130),INDEX(StockPluis[[#All],[Geen]:[Waarde MIN]],_xlfn.XMATCH('Gewas vrij invulbaar'!F130,StockPluis[[#All],[DS inhoud big bag]]),_xlfn.XMATCH('Gewas vrij invulbaar'!G130,StockPluis[[#Headers],[Geen]:[Waarde MIN]])),H130)</f>
        <v>1000</v>
      </c>
      <c r="J130" s="181" t="s">
        <v>204</v>
      </c>
      <c r="L130" s="55"/>
      <c r="M130" s="103"/>
      <c r="N130" s="103"/>
      <c r="O130" s="103"/>
      <c r="P130" s="56"/>
    </row>
    <row r="131" spans="2:16" ht="16" thickTop="1">
      <c r="F131" s="182" t="s">
        <v>205</v>
      </c>
      <c r="G131" s="103"/>
      <c r="H131" s="103"/>
      <c r="I131" s="107">
        <f>IF(F126='DATA - Variabelen &amp; waarden'!B368,I130/1000*I126,0)</f>
        <v>50</v>
      </c>
      <c r="J131" s="176" t="s">
        <v>206</v>
      </c>
      <c r="L131" s="55"/>
      <c r="M131" s="103"/>
      <c r="N131" s="103"/>
      <c r="O131" s="103"/>
      <c r="P131" s="56"/>
    </row>
    <row r="132" spans="2:16">
      <c r="F132" s="182" t="s">
        <v>207</v>
      </c>
      <c r="G132" s="103"/>
      <c r="H132" s="103"/>
      <c r="I132" s="117">
        <f>IF(F128='DATA - Variabelen &amp; waarden'!B380,'Gewas vrij invulbaar'!I130/1000*'Gewas vrij invulbaar'!I128,0)</f>
        <v>8</v>
      </c>
      <c r="J132" s="176" t="s">
        <v>206</v>
      </c>
      <c r="L132" s="55"/>
      <c r="M132" s="103"/>
      <c r="N132" s="103"/>
      <c r="O132" s="103"/>
      <c r="P132" s="56"/>
    </row>
    <row r="133" spans="2:16">
      <c r="F133" s="57"/>
      <c r="G133" s="104"/>
      <c r="H133" s="104"/>
      <c r="I133" s="104"/>
      <c r="J133" s="58"/>
      <c r="L133" s="57"/>
      <c r="M133" s="104"/>
      <c r="N133" s="104"/>
      <c r="O133" s="104"/>
      <c r="P133" s="58"/>
    </row>
    <row r="134" spans="2:16" s="202" customFormat="1">
      <c r="B134" s="204"/>
      <c r="C134" s="204"/>
    </row>
    <row r="135" spans="2:16" s="202" customFormat="1"/>
    <row r="136" spans="2:16" s="202" customFormat="1">
      <c r="B136" s="206"/>
    </row>
    <row r="137" spans="2:16" s="202" customFormat="1">
      <c r="B137" s="205"/>
    </row>
    <row r="138" spans="2:16" s="202" customFormat="1"/>
    <row r="139" spans="2:16" s="202" customFormat="1">
      <c r="B139" s="204"/>
      <c r="I139" s="203"/>
    </row>
    <row r="140" spans="2:16" s="202" customFormat="1">
      <c r="I140" s="203"/>
    </row>
    <row r="141" spans="2:16" s="202" customFormat="1">
      <c r="I141" s="203"/>
    </row>
    <row r="142" spans="2:16">
      <c r="B142" s="39"/>
    </row>
    <row r="145" spans="2:3">
      <c r="B145" s="39"/>
      <c r="C145" s="39"/>
    </row>
  </sheetData>
  <mergeCells count="5">
    <mergeCell ref="C42:D42"/>
    <mergeCell ref="C51:D51"/>
    <mergeCell ref="C90:D90"/>
    <mergeCell ref="C94:D94"/>
    <mergeCell ref="C98:D98"/>
  </mergeCells>
  <conditionalFormatting sqref="F71:J74 G79:J79">
    <cfRule type="expression" dxfId="452" priority="2">
      <formula>$F$67="Zaaien"</formula>
    </cfRule>
  </conditionalFormatting>
  <conditionalFormatting sqref="F78:J78">
    <cfRule type="expression" dxfId="451" priority="4">
      <formula>$F$67="Zaaien"</formula>
    </cfRule>
  </conditionalFormatting>
  <conditionalFormatting sqref="F75:J77">
    <cfRule type="expression" dxfId="450" priority="3">
      <formula>$F$67="Planten"</formula>
    </cfRule>
  </conditionalFormatting>
  <conditionalFormatting sqref="F79">
    <cfRule type="expression" dxfId="449" priority="1">
      <formula>$F$67="Planten"</formula>
    </cfRule>
  </conditionalFormatting>
  <conditionalFormatting sqref="L93 F133:J133 L133:P133">
    <cfRule type="expression" dxfId="448" priority="5">
      <formula>$M$89="Nee"</formula>
    </cfRule>
  </conditionalFormatting>
  <dataValidations count="1">
    <dataValidation type="list" allowBlank="1" showInputMessage="1" showErrorMessage="1" sqref="M94" xr:uid="{D1332179-9157-4295-ACA3-A3D867C4CC79}">
      <formula1>$B$91:$B$92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29E1C4F4-7BDE-4227-96C6-FFF7B51EAB26}">
          <x14:formula1>
            <xm:f>'DATA - Variabelen &amp; waarden'!$B$376:$B$380</xm:f>
          </x14:formula1>
          <xm:sqref>F128</xm:sqref>
        </x14:dataValidation>
        <x14:dataValidation type="list" allowBlank="1" showInputMessage="1" showErrorMessage="1" xr:uid="{7CEFB7D8-F4A0-4657-9334-4E2017CAD159}">
          <x14:formula1>
            <xm:f>'DATA - Variabelen &amp; waarden'!$B$364:$B$368</xm:f>
          </x14:formula1>
          <xm:sqref>F126</xm:sqref>
        </x14:dataValidation>
        <x14:dataValidation type="list" allowBlank="1" showInputMessage="1" showErrorMessage="1" xr:uid="{49FA853D-3316-4AA9-8B5C-7D4055011DD2}">
          <x14:formula1>
            <xm:f>'DATA - Variabelen &amp; waarden'!$D$323:$G$323</xm:f>
          </x14:formula1>
          <xm:sqref>G119 G122</xm:sqref>
        </x14:dataValidation>
        <x14:dataValidation type="list" allowBlank="1" showInputMessage="1" showErrorMessage="1" xr:uid="{EA2A2913-70DB-4F06-AB33-74C117A06FC9}">
          <x14:formula1>
            <xm:f>'DATA - Variabelen &amp; waarden'!$D$298:$G$298</xm:f>
          </x14:formula1>
          <xm:sqref>G102 G105</xm:sqref>
        </x14:dataValidation>
        <x14:dataValidation type="list" allowBlank="1" showInputMessage="1" showErrorMessage="1" xr:uid="{617B1F68-033D-49D6-A79B-0360F7E8FE0B}">
          <x14:formula1>
            <xm:f>'DATA - Variabelen &amp; waarden'!$D$414:$G$414</xm:f>
          </x14:formula1>
          <xm:sqref>M103</xm:sqref>
        </x14:dataValidation>
        <x14:dataValidation type="list" allowBlank="1" showInputMessage="1" showErrorMessage="1" xr:uid="{941619D7-8B0D-44E3-B3F1-2B6C685E9D4D}">
          <x14:formula1>
            <xm:f>'DATA - Variabelen &amp; waarden'!$B$341:$B$346</xm:f>
          </x14:formula1>
          <xm:sqref>F109</xm:sqref>
        </x14:dataValidation>
        <x14:dataValidation type="list" allowBlank="1" showInputMessage="1" showErrorMessage="1" xr:uid="{1877703C-18BB-4FB5-B7E4-86741A8C9288}">
          <x14:formula1>
            <xm:f>'DATA - Variabelen &amp; waarden'!$B$393:$B$394</xm:f>
          </x14:formula1>
          <xm:sqref>M89</xm:sqref>
        </x14:dataValidation>
        <x14:dataValidation type="list" allowBlank="1" showInputMessage="1" showErrorMessage="1" xr:uid="{A96F8AF8-82DE-4C3C-8FD4-47911300DBA4}">
          <x14:formula1>
            <xm:f>'DATA - Variabelen &amp; waarden'!$D$382:$G$382</xm:f>
          </x14:formula1>
          <xm:sqref>M100</xm:sqref>
        </x14:dataValidation>
        <x14:dataValidation type="list" allowBlank="1" showInputMessage="1" showErrorMessage="1" xr:uid="{BFF301AE-EB34-495C-A909-B30C3FBB7EB4}">
          <x14:formula1>
            <xm:f>'DATA - Variabelen &amp; waarden'!$D$370:$G$370</xm:f>
          </x14:formula1>
          <xm:sqref>G130</xm:sqref>
        </x14:dataValidation>
        <x14:dataValidation type="list" allowBlank="1" showInputMessage="1" showErrorMessage="1" xr:uid="{949A39B3-3F92-4303-B656-7EDA7CBFF5D4}">
          <x14:formula1>
            <xm:f>'DATA - Variabelen &amp; waarden'!$B$371:$B$373</xm:f>
          </x14:formula1>
          <xm:sqref>F130</xm:sqref>
        </x14:dataValidation>
        <x14:dataValidation type="list" allowBlank="1" showInputMessage="1" showErrorMessage="1" xr:uid="{0031B063-F283-4782-9E2A-C367694C876A}">
          <x14:formula1>
            <xm:f>'DATA - Variabelen &amp; waarden'!$D$357:$G$357</xm:f>
          </x14:formula1>
          <xm:sqref>G113</xm:sqref>
        </x14:dataValidation>
        <x14:dataValidation type="list" allowBlank="1" showInputMessage="1" showErrorMessage="1" xr:uid="{39C0CA09-9C40-4938-9FA9-46D362054614}">
          <x14:formula1>
            <xm:f>'DATA - Variabelen &amp; waarden'!$B$358:$B$361</xm:f>
          </x14:formula1>
          <xm:sqref>F113</xm:sqref>
        </x14:dataValidation>
        <x14:dataValidation type="list" allowBlank="1" showInputMessage="1" showErrorMessage="1" xr:uid="{F86D7AE3-BABD-435E-9E73-6518913B622D}">
          <x14:formula1>
            <xm:f>'DATA - Variabelen &amp; waarden'!$B$349:$B$355</xm:f>
          </x14:formula1>
          <xm:sqref>F111</xm:sqref>
        </x14:dataValidation>
        <x14:dataValidation type="list" allowBlank="1" showInputMessage="1" showErrorMessage="1" xr:uid="{8EEF5C63-CB5D-43A9-9804-75A9251EF485}">
          <x14:formula1>
            <xm:f>'DATA - Variabelen &amp; waarden'!$D$348:$G$348</xm:f>
          </x14:formula1>
          <xm:sqref>G111</xm:sqref>
        </x14:dataValidation>
        <x14:dataValidation type="list" allowBlank="1" showInputMessage="1" showErrorMessage="1" xr:uid="{78596EAA-6B9A-4371-8994-3C56573E3FA3}">
          <x14:formula1>
            <xm:f>'DATA - Variabelen &amp; waarden'!$D$340:$G$340</xm:f>
          </x14:formula1>
          <xm:sqref>G109</xm:sqref>
        </x14:dataValidation>
        <x14:dataValidation type="list" allowBlank="1" showInputMessage="1" showErrorMessage="1" xr:uid="{74F89A5B-4DE3-4C0A-B95C-0C10D3CCC59B}">
          <x14:formula1>
            <xm:f>'DATA - Variabelen &amp; waarden'!$D$22:$G$22</xm:f>
          </x14:formula1>
          <xm:sqref>G46:G47 G49:G50 G58:G62 G52:G53 G55:G56</xm:sqref>
        </x14:dataValidation>
        <x14:dataValidation type="list" allowBlank="1" showInputMessage="1" showErrorMessage="1" xr:uid="{A4148B85-6148-4668-9123-54408E064A0D}">
          <x14:formula1>
            <xm:f>'DATA - Variabelen &amp; waarden'!$D$45:$G$45</xm:f>
          </x14:formula1>
          <xm:sqref>G69:G73 G75 G79 G77</xm:sqref>
        </x14:dataValidation>
        <x14:dataValidation type="list" allowBlank="1" showInputMessage="1" showErrorMessage="1" xr:uid="{54495D51-F63C-458F-B749-C5518C5A17D5}">
          <x14:formula1>
            <xm:f>'DATA - Variabelen &amp; waarden'!$D$56:$G$56</xm:f>
          </x14:formula1>
          <xm:sqref>M51:M54 M56:M57 M43:M46 M48:M49</xm:sqref>
        </x14:dataValidation>
        <x14:dataValidation type="list" allowBlank="1" showInputMessage="1" showErrorMessage="1" xr:uid="{B7FBCEFA-D468-4638-9B6C-E1564DDAFE88}">
          <x14:formula1>
            <xm:f>'DATA - Variabelen &amp; waarden'!$D$74:$G$74</xm:f>
          </x14:formula1>
          <xm:sqref>M61:M63</xm:sqref>
        </x14:dataValidation>
        <x14:dataValidation type="list" allowBlank="1" showInputMessage="1" showErrorMessage="1" xr:uid="{1C561A16-715D-467A-B674-6E05AF758A57}">
          <x14:formula1>
            <xm:f>'DATA - Variabelen &amp; waarden'!$D$79:$G$79</xm:f>
          </x14:formula1>
          <xm:sqref>M66:M67</xm:sqref>
        </x14:dataValidation>
        <x14:dataValidation type="list" allowBlank="1" showInputMessage="1" showErrorMessage="1" xr:uid="{58251E5F-5149-459A-A988-BF541ECBAD60}">
          <x14:formula1>
            <xm:f>'DATA - Variabelen &amp; waarden'!$D$83:$G$83</xm:f>
          </x14:formula1>
          <xm:sqref>M70:M76</xm:sqref>
        </x14:dataValidation>
        <x14:dataValidation type="list" allowBlank="1" showInputMessage="1" showErrorMessage="1" xr:uid="{771BD155-6509-412F-AF32-F735AF0D995E}">
          <x14:formula1>
            <xm:f>'DATA - Variabelen &amp; waarden'!$D$92:$G$92</xm:f>
          </x14:formula1>
          <xm:sqref>M79:M80 M82</xm:sqref>
        </x14:dataValidation>
        <x14:dataValidation type="list" allowBlank="1" showInputMessage="1" showErrorMessage="1" xr:uid="{FD410185-A0AC-4880-86BF-AB9B6E3D02CF}">
          <x14:formula1>
            <xm:f>'DATA - Variabelen &amp; waarden'!$B$288:$B$296</xm:f>
          </x14:formula1>
          <xm:sqref>F101</xm:sqref>
        </x14:dataValidation>
        <x14:dataValidation type="list" allowBlank="1" showInputMessage="1" showErrorMessage="1" xr:uid="{20BC72A9-6DC8-4AF8-AA53-036CEF2831AD}">
          <x14:formula1>
            <xm:f>'DATA - Variabelen &amp; waarden'!$D$187:$G$187</xm:f>
          </x14:formula1>
          <xm:sqref>G90:G91 M91:M92 G94:G95</xm:sqref>
        </x14:dataValidation>
        <x14:dataValidation type="list" allowBlank="1" showInputMessage="1" showErrorMessage="1" xr:uid="{2570FD1B-987F-433A-9B18-67D58531731E}">
          <x14:formula1>
            <xm:f>'DATA - Variabelen &amp; waarden'!$D$287:$G$287</xm:f>
          </x14:formula1>
          <xm:sqref>G101</xm:sqref>
        </x14:dataValidation>
        <x14:dataValidation type="list" allowBlank="1" showInputMessage="1" showErrorMessage="1" xr:uid="{3AC4DB64-DEF6-4ECF-9200-4429C1069975}">
          <x14:formula1>
            <xm:f>'DATA - Variabelen &amp; waarden'!$D$309:$G$309</xm:f>
          </x14:formula1>
          <xm:sqref>G104</xm:sqref>
        </x14:dataValidation>
        <x14:dataValidation type="list" allowBlank="1" showInputMessage="1" showErrorMessage="1" xr:uid="{92F7E598-156F-40C1-9676-D0BB73D5B23D}">
          <x14:formula1>
            <xm:f>'DATA - Variabelen &amp; waarden'!$B$316:$B$321</xm:f>
          </x14:formula1>
          <xm:sqref>F118</xm:sqref>
        </x14:dataValidation>
        <x14:dataValidation type="list" allowBlank="1" showInputMessage="1" showErrorMessage="1" xr:uid="{F6A23C08-CB84-4CC4-A21F-8EBF68A29341}">
          <x14:formula1>
            <xm:f>'DATA - Variabelen &amp; waarden'!$D$315:$G$315</xm:f>
          </x14:formula1>
          <xm:sqref>G118</xm:sqref>
        </x14:dataValidation>
        <x14:dataValidation type="list" allowBlank="1" showInputMessage="1" showErrorMessage="1" xr:uid="{5C84768E-5451-4F26-9723-8A5E2B2AA91D}">
          <x14:formula1>
            <xm:f>'DATA - Variabelen &amp; waarden'!$D$331:$G$331</xm:f>
          </x14:formula1>
          <xm:sqref>G121</xm:sqref>
        </x14:dataValidation>
        <x14:dataValidation type="list" allowBlank="1" showInputMessage="1" showErrorMessage="1" xr:uid="{E788726D-D9CC-44E2-812C-BB3ABE7C6A39}">
          <x14:formula1>
            <xm:f>'DATA - Variabelen &amp; waarden'!$D$363:$G$363</xm:f>
          </x14:formula1>
          <xm:sqref>G126</xm:sqref>
        </x14:dataValidation>
        <x14:dataValidation type="list" allowBlank="1" showInputMessage="1" showErrorMessage="1" xr:uid="{B4590820-139F-4BE3-A55D-AE87CE962F49}">
          <x14:formula1>
            <xm:f>'DATA - Variabelen &amp; waarden'!$D$375:$G$375</xm:f>
          </x14:formula1>
          <xm:sqref>G128</xm:sqref>
        </x14:dataValidation>
        <x14:dataValidation type="list" allowBlank="1" showInputMessage="1" showErrorMessage="1" xr:uid="{EE7DA512-D561-4375-A4A7-1460B23EEE31}">
          <x14:formula1>
            <xm:f>'DATA - Variabelen &amp; waarden'!$D$405:$G$405</xm:f>
          </x14:formula1>
          <xm:sqref>M116</xm:sqref>
        </x14:dataValidation>
        <x14:dataValidation type="list" allowBlank="1" showInputMessage="1" showErrorMessage="1" xr:uid="{6B37CAC1-5545-411E-92A7-887DA34634A2}">
          <x14:formula1>
            <xm:f>'DATA - Variabelen &amp; waarden'!$D$396:$G$396</xm:f>
          </x14:formula1>
          <xm:sqref>M115</xm:sqref>
        </x14:dataValidation>
        <x14:dataValidation type="list" allowBlank="1" showInputMessage="1" showErrorMessage="1" xr:uid="{8D22FE88-6046-4117-889B-04B2D62921B0}">
          <x14:formula1>
            <xm:f>'DATA - Variabelen &amp; waarden'!$B$397:$B$403</xm:f>
          </x14:formula1>
          <xm:sqref>L115</xm:sqref>
        </x14:dataValidation>
        <x14:dataValidation type="list" allowBlank="1" showInputMessage="1" showErrorMessage="1" xr:uid="{F437BEED-5DB4-4F02-AA12-235C75F221B7}">
          <x14:formula1>
            <xm:f>'DATA - Variabelen &amp; waarden'!$D$387:$G$387</xm:f>
          </x14:formula1>
          <xm:sqref>M111 M107</xm:sqref>
        </x14:dataValidation>
        <x14:dataValidation type="list" allowBlank="1" showInputMessage="1" showErrorMessage="1" xr:uid="{916F9DAF-1918-4907-AD51-99EB8A99DF96}">
          <x14:formula1>
            <xm:f>'DATA - Variabelen &amp; waarden'!$B$388:$B$390</xm:f>
          </x14:formula1>
          <xm:sqref>L111 L107</xm:sqref>
        </x14:dataValidation>
        <x14:dataValidation type="list" allowBlank="1" showInputMessage="1" showErrorMessage="1" xr:uid="{BF8DDA54-F938-4FB5-B658-AA9E66209EB3}">
          <x14:formula1>
            <xm:f>'DATA - Variabelen &amp; waarden'!$B$42:$B$43</xm:f>
          </x14:formula1>
          <xm:sqref>F67</xm:sqref>
        </x14:dataValidation>
        <x14:dataValidation type="list" allowBlank="1" showInputMessage="1" showErrorMessage="1" xr:uid="{1F9918AC-6C1A-448C-87E8-5B70A4178E29}">
          <x14:formula1>
            <xm:f>'DATA - Variabelen &amp; waarden'!$B$106:$B$112</xm:f>
          </x14:formula1>
          <xm:sqref>F65</xm:sqref>
        </x14:dataValidation>
        <x14:dataValidation type="list" allowBlank="1" showInputMessage="1" showErrorMessage="1" xr:uid="{77396FD4-FB6F-4C5A-B3E6-EC90B2163C09}">
          <x14:formula1>
            <xm:f>'DATA - Variabelen &amp; waarden'!$B$7:$B$20</xm:f>
          </x14:formula1>
          <xm:sqref>F43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8948-C7C4-C346-90EB-F9CD8ACA49A2}">
  <sheetPr>
    <tabColor theme="5" tint="0.39997558519241921"/>
  </sheetPr>
  <dimension ref="B2:L42"/>
  <sheetViews>
    <sheetView showGridLines="0" workbookViewId="0">
      <selection activeCell="M9" sqref="M9"/>
    </sheetView>
  </sheetViews>
  <sheetFormatPr defaultColWidth="11.08203125" defaultRowHeight="15.5"/>
  <cols>
    <col min="1" max="1" width="4.5" customWidth="1"/>
    <col min="2" max="2" width="44.5" customWidth="1"/>
    <col min="4" max="4" width="12.08203125" style="3" bestFit="1" customWidth="1"/>
    <col min="5" max="5" width="12.08203125" style="3" customWidth="1"/>
    <col min="6" max="6" width="1.9140625" style="3" customWidth="1"/>
    <col min="7" max="7" width="12.08203125" style="3" customWidth="1"/>
    <col min="8" max="8" width="11.08203125" style="3"/>
  </cols>
  <sheetData>
    <row r="2" spans="2:12">
      <c r="E2" s="236" t="s">
        <v>222</v>
      </c>
      <c r="F2" s="236"/>
      <c r="G2" s="236" t="s">
        <v>685</v>
      </c>
      <c r="H2" s="236" t="s">
        <v>223</v>
      </c>
      <c r="I2" s="236"/>
    </row>
    <row r="3" spans="2:12">
      <c r="E3" s="236"/>
      <c r="F3" s="236"/>
      <c r="G3" s="236" t="s">
        <v>686</v>
      </c>
      <c r="H3" s="236" t="s">
        <v>224</v>
      </c>
      <c r="I3" s="236"/>
    </row>
    <row r="4" spans="2:12">
      <c r="B4" t="s">
        <v>225</v>
      </c>
      <c r="C4" s="45">
        <v>110</v>
      </c>
      <c r="E4" s="236"/>
      <c r="F4" s="236"/>
      <c r="G4" s="236" t="s">
        <v>687</v>
      </c>
      <c r="H4" s="236" t="s">
        <v>226</v>
      </c>
      <c r="I4" s="236"/>
    </row>
    <row r="5" spans="2:12">
      <c r="B5" t="s">
        <v>227</v>
      </c>
      <c r="C5" s="45">
        <v>25</v>
      </c>
    </row>
    <row r="6" spans="2:12" ht="31">
      <c r="D6" s="314" t="s">
        <v>685</v>
      </c>
      <c r="E6" s="314" t="s">
        <v>686</v>
      </c>
      <c r="F6" s="314"/>
      <c r="G6" s="314" t="s">
        <v>687</v>
      </c>
      <c r="H6" s="315" t="s">
        <v>228</v>
      </c>
      <c r="I6" s="232" t="s">
        <v>214</v>
      </c>
      <c r="J6" s="232" t="s">
        <v>212</v>
      </c>
      <c r="K6" s="232" t="s">
        <v>209</v>
      </c>
      <c r="L6" s="232" t="s">
        <v>229</v>
      </c>
    </row>
    <row r="7" spans="2:12" ht="31">
      <c r="D7" s="232" t="s">
        <v>230</v>
      </c>
      <c r="E7" s="232" t="s">
        <v>231</v>
      </c>
      <c r="F7" s="232"/>
      <c r="G7" s="232" t="s">
        <v>231</v>
      </c>
      <c r="H7" s="232" t="s">
        <v>228</v>
      </c>
      <c r="I7" s="232" t="s">
        <v>214</v>
      </c>
      <c r="J7" s="232" t="s">
        <v>212</v>
      </c>
      <c r="K7" s="232" t="s">
        <v>209</v>
      </c>
      <c r="L7" s="232" t="s">
        <v>229</v>
      </c>
    </row>
    <row r="8" spans="2:12" ht="16" thickBot="1">
      <c r="B8" s="221" t="s">
        <v>86</v>
      </c>
      <c r="C8" s="221"/>
    </row>
    <row r="9" spans="2:12" ht="16" thickBot="1">
      <c r="B9" s="222" t="s">
        <v>232</v>
      </c>
      <c r="C9" s="223" t="s">
        <v>233</v>
      </c>
      <c r="D9" s="233">
        <v>3.5000000000000003E-2</v>
      </c>
      <c r="E9" s="233">
        <v>3.5000000000000003E-2</v>
      </c>
      <c r="F9" s="233"/>
      <c r="G9" s="233">
        <v>3.5000000000000003E-2</v>
      </c>
      <c r="H9" s="233">
        <v>3.5000000000000003E-2</v>
      </c>
      <c r="I9" s="233">
        <v>3.5000000000000003E-2</v>
      </c>
      <c r="J9" s="233">
        <v>3.5000000000000003E-2</v>
      </c>
      <c r="K9" s="233">
        <v>3.5000000000000003E-2</v>
      </c>
      <c r="L9" s="233">
        <v>3.5000000000000003E-2</v>
      </c>
    </row>
    <row r="10" spans="2:12" ht="16" thickBot="1">
      <c r="B10" s="222" t="s">
        <v>87</v>
      </c>
      <c r="C10" s="223" t="s">
        <v>234</v>
      </c>
      <c r="D10" s="3">
        <f>SUM(D11:D16)</f>
        <v>731834.9410705301</v>
      </c>
      <c r="E10" s="3">
        <f t="shared" ref="E10:G10" si="0">SUM(E11:E16)</f>
        <v>731655.42253348837</v>
      </c>
      <c r="G10" s="3">
        <f t="shared" si="0"/>
        <v>731651.01244706241</v>
      </c>
      <c r="H10" s="3">
        <f>SUM(H11:H16)</f>
        <v>838223.76244706241</v>
      </c>
      <c r="I10" s="3">
        <f>SUM(I11:I16)</f>
        <v>763423.76244706241</v>
      </c>
      <c r="J10" s="3">
        <f>SUM(J11:J16)</f>
        <v>763223.76244706241</v>
      </c>
      <c r="K10" s="3">
        <f t="shared" ref="K10" si="1">SUM(K11:K16)</f>
        <v>848223.76244706241</v>
      </c>
      <c r="L10" s="3">
        <f>SUM(L11:L16)</f>
        <v>789973.76244706241</v>
      </c>
    </row>
    <row r="11" spans="2:12" ht="16" thickBot="1">
      <c r="B11" s="222" t="s">
        <v>235</v>
      </c>
      <c r="C11" s="223" t="s">
        <v>234</v>
      </c>
      <c r="D11" s="65">
        <v>643678.94442136015</v>
      </c>
      <c r="E11" s="65">
        <v>643681.24200370326</v>
      </c>
      <c r="F11" s="65"/>
      <c r="G11" s="65">
        <v>643679.85183228576</v>
      </c>
      <c r="H11" s="155">
        <f>G11</f>
        <v>643679.85183228576</v>
      </c>
      <c r="I11" s="155">
        <f>L11</f>
        <v>643679.85183228576</v>
      </c>
      <c r="J11" s="155">
        <f>K11</f>
        <v>643679.85183228576</v>
      </c>
      <c r="K11" s="155">
        <f>I11</f>
        <v>643679.85183228576</v>
      </c>
      <c r="L11" s="155">
        <f>H11</f>
        <v>643679.85183228576</v>
      </c>
    </row>
    <row r="12" spans="2:12" ht="16" thickBot="1">
      <c r="B12" s="223" t="s">
        <v>236</v>
      </c>
      <c r="C12" s="223" t="s">
        <v>234</v>
      </c>
      <c r="D12" s="65">
        <v>40917.53515625</v>
      </c>
      <c r="E12" s="65">
        <v>40917.53515625</v>
      </c>
      <c r="F12" s="65"/>
      <c r="G12" s="65">
        <v>40917.53515625</v>
      </c>
      <c r="H12" s="155">
        <f t="shared" ref="H12:H15" si="2">G12</f>
        <v>40917.53515625</v>
      </c>
      <c r="I12" s="155">
        <f>L12</f>
        <v>40917.53515625</v>
      </c>
      <c r="J12" s="155">
        <f>K12</f>
        <v>40917.53515625</v>
      </c>
      <c r="K12" s="155">
        <f>I12</f>
        <v>40917.53515625</v>
      </c>
      <c r="L12" s="155">
        <f>H12</f>
        <v>40917.53515625</v>
      </c>
    </row>
    <row r="13" spans="2:12" ht="16" thickBot="1">
      <c r="B13" s="222" t="s">
        <v>237</v>
      </c>
      <c r="C13" s="223" t="s">
        <v>234</v>
      </c>
      <c r="D13" s="65">
        <v>191.01618041992211</v>
      </c>
      <c r="E13" s="65">
        <v>9.2000610351562493</v>
      </c>
      <c r="F13" s="65"/>
      <c r="G13" s="65">
        <v>6.1801460266113306</v>
      </c>
      <c r="H13" s="155">
        <f t="shared" si="2"/>
        <v>6.1801460266113306</v>
      </c>
      <c r="I13" s="155">
        <f>L13</f>
        <v>6.1801460266113306</v>
      </c>
      <c r="J13" s="155">
        <f>K13</f>
        <v>6.1801460266113306</v>
      </c>
      <c r="K13" s="155">
        <f>I13</f>
        <v>6.1801460266113306</v>
      </c>
      <c r="L13" s="155">
        <f>H13</f>
        <v>6.1801460266113306</v>
      </c>
    </row>
    <row r="14" spans="2:12" ht="16" thickBot="1">
      <c r="B14" s="222" t="s">
        <v>238</v>
      </c>
      <c r="C14" s="223" t="s">
        <v>234</v>
      </c>
      <c r="D14" s="65"/>
      <c r="E14" s="65"/>
      <c r="F14" s="65"/>
      <c r="G14" s="65"/>
      <c r="H14" s="155">
        <f>$G$14</f>
        <v>0</v>
      </c>
      <c r="I14" s="155">
        <f t="shared" ref="I14:L14" si="3">$G$14</f>
        <v>0</v>
      </c>
      <c r="J14" s="155">
        <f t="shared" si="3"/>
        <v>0</v>
      </c>
      <c r="K14" s="155">
        <f t="shared" si="3"/>
        <v>0</v>
      </c>
      <c r="L14" s="155">
        <f t="shared" si="3"/>
        <v>0</v>
      </c>
    </row>
    <row r="15" spans="2:12" ht="16" thickBot="1">
      <c r="B15" s="222" t="s">
        <v>239</v>
      </c>
      <c r="C15" s="223" t="s">
        <v>234</v>
      </c>
      <c r="D15" s="65">
        <v>47047.4453125</v>
      </c>
      <c r="E15" s="65">
        <v>47047.4453125</v>
      </c>
      <c r="F15" s="65"/>
      <c r="G15" s="65">
        <v>47047.4453125</v>
      </c>
      <c r="H15" s="155">
        <f t="shared" si="2"/>
        <v>47047.4453125</v>
      </c>
      <c r="I15" s="155">
        <f>L15</f>
        <v>47047.4453125</v>
      </c>
      <c r="J15" s="155">
        <f>K15</f>
        <v>47047.4453125</v>
      </c>
      <c r="K15" s="155">
        <f>I15</f>
        <v>47047.4453125</v>
      </c>
      <c r="L15" s="155">
        <f>H15</f>
        <v>47047.4453125</v>
      </c>
    </row>
    <row r="16" spans="2:12" ht="16" thickBot="1">
      <c r="B16" s="222" t="s">
        <v>240</v>
      </c>
      <c r="C16" s="223" t="s">
        <v>234</v>
      </c>
      <c r="G16" s="234"/>
      <c r="H16" s="234">
        <f>'Grote lisdodde'!C6*$C$5</f>
        <v>106572.75</v>
      </c>
      <c r="I16" s="234">
        <f>Hennep!C6*'Vergelijk Melkvee BBPR'!C5</f>
        <v>31772.750000000004</v>
      </c>
      <c r="J16" s="234">
        <f>Miscanthus!C6*'Vergelijk Melkvee BBPR'!C5</f>
        <v>31572.750000000004</v>
      </c>
      <c r="K16" s="234">
        <f>Riet!C6*'Vergelijk Melkvee BBPR'!C5</f>
        <v>116572.75</v>
      </c>
      <c r="L16" s="234">
        <f>'Gewas vrij invulbaar'!C6*'Vergelijk Melkvee BBPR'!C5</f>
        <v>58322.75</v>
      </c>
    </row>
    <row r="17" spans="2:12" ht="16" thickBot="1">
      <c r="B17" s="222"/>
      <c r="C17" s="223"/>
      <c r="I17" s="3"/>
      <c r="J17" s="3"/>
      <c r="K17" s="3"/>
      <c r="L17" s="3"/>
    </row>
    <row r="18" spans="2:12" s="1" customFormat="1" ht="16" thickBot="1">
      <c r="B18" s="224" t="s">
        <v>241</v>
      </c>
      <c r="C18" s="224" t="s">
        <v>234</v>
      </c>
      <c r="D18" s="6">
        <f>SUM(D19:D25)</f>
        <v>270801.86660156248</v>
      </c>
      <c r="E18" s="6">
        <f t="shared" ref="E18:K18" si="4">SUM(E19:E25)</f>
        <v>288448.86445312499</v>
      </c>
      <c r="F18" s="6"/>
      <c r="G18" s="6">
        <f t="shared" si="4"/>
        <v>299766.9345703125</v>
      </c>
      <c r="H18" s="6">
        <f t="shared" si="4"/>
        <v>353526.9345703125</v>
      </c>
      <c r="I18" s="6">
        <f>SUM(I19:I25)</f>
        <v>329256.6220703125</v>
      </c>
      <c r="J18" s="6">
        <f>SUM(J19:J25)</f>
        <v>330520.6845703125</v>
      </c>
      <c r="K18" s="6">
        <f t="shared" si="4"/>
        <v>347416.9345703125</v>
      </c>
      <c r="L18" s="6">
        <f>SUM(L19:L25)</f>
        <v>341195.6845703125</v>
      </c>
    </row>
    <row r="19" spans="2:12" ht="16" thickBot="1">
      <c r="B19" s="222" t="s">
        <v>242</v>
      </c>
      <c r="C19" s="223" t="s">
        <v>234</v>
      </c>
      <c r="D19" s="65">
        <v>173682.8</v>
      </c>
      <c r="E19" s="65">
        <v>191755.00937499999</v>
      </c>
      <c r="F19" s="65"/>
      <c r="G19" s="65">
        <v>208803.64531250001</v>
      </c>
      <c r="H19" s="155">
        <f>+G19</f>
        <v>208803.64531250001</v>
      </c>
      <c r="I19" s="155">
        <f t="shared" ref="I19:I24" si="5">+L19</f>
        <v>208803.64531250001</v>
      </c>
      <c r="J19" s="155">
        <f t="shared" ref="J19:J24" si="6">+K19</f>
        <v>208803.64531250001</v>
      </c>
      <c r="K19" s="155">
        <f t="shared" ref="K19:K24" si="7">+I19</f>
        <v>208803.64531250001</v>
      </c>
      <c r="L19" s="155">
        <f t="shared" ref="L19:L24" si="8">+H19</f>
        <v>208803.64531250001</v>
      </c>
    </row>
    <row r="20" spans="2:12" ht="16" thickBot="1">
      <c r="B20" s="222" t="s">
        <v>243</v>
      </c>
      <c r="C20" s="223" t="s">
        <v>234</v>
      </c>
      <c r="D20" s="65">
        <v>8910.4140625</v>
      </c>
      <c r="E20" s="65">
        <v>8910.4140625</v>
      </c>
      <c r="F20" s="65"/>
      <c r="G20" s="65">
        <v>8910.4140625</v>
      </c>
      <c r="H20" s="155">
        <f t="shared" ref="H20:H24" si="9">+G20</f>
        <v>8910.4140625</v>
      </c>
      <c r="I20" s="155">
        <f t="shared" si="5"/>
        <v>8910.4140625</v>
      </c>
      <c r="J20" s="155">
        <f t="shared" si="6"/>
        <v>8910.4140625</v>
      </c>
      <c r="K20" s="155">
        <f t="shared" si="7"/>
        <v>8910.4140625</v>
      </c>
      <c r="L20" s="155">
        <f t="shared" si="8"/>
        <v>8910.4140625</v>
      </c>
    </row>
    <row r="21" spans="2:12" ht="16" thickBot="1">
      <c r="B21" s="222" t="s">
        <v>244</v>
      </c>
      <c r="C21" s="223" t="s">
        <v>234</v>
      </c>
      <c r="D21" s="65">
        <v>13653.606152343749</v>
      </c>
      <c r="E21" s="65">
        <v>13166.6283203125</v>
      </c>
      <c r="F21" s="65"/>
      <c r="G21" s="65">
        <v>10273.259765625</v>
      </c>
      <c r="H21" s="155">
        <f t="shared" si="9"/>
        <v>10273.259765625</v>
      </c>
      <c r="I21" s="155">
        <f t="shared" si="5"/>
        <v>10273.259765625</v>
      </c>
      <c r="J21" s="155">
        <f t="shared" si="6"/>
        <v>10273.259765625</v>
      </c>
      <c r="K21" s="155">
        <f t="shared" si="7"/>
        <v>10273.259765625</v>
      </c>
      <c r="L21" s="155">
        <f t="shared" si="8"/>
        <v>10273.259765625</v>
      </c>
    </row>
    <row r="22" spans="2:12" ht="16" thickBot="1">
      <c r="B22" s="222" t="s">
        <v>245</v>
      </c>
      <c r="C22" s="223" t="s">
        <v>234</v>
      </c>
      <c r="D22" s="65">
        <v>7673.48876953125</v>
      </c>
      <c r="E22" s="65">
        <v>7673.4884765625011</v>
      </c>
      <c r="F22" s="65"/>
      <c r="G22" s="65">
        <v>7202.6578125000015</v>
      </c>
      <c r="H22" s="155">
        <f t="shared" si="9"/>
        <v>7202.6578125000015</v>
      </c>
      <c r="I22" s="155">
        <f t="shared" si="5"/>
        <v>7202.6578125000015</v>
      </c>
      <c r="J22" s="155">
        <f t="shared" si="6"/>
        <v>7202.6578125000015</v>
      </c>
      <c r="K22" s="155">
        <f t="shared" si="7"/>
        <v>7202.6578125000015</v>
      </c>
      <c r="L22" s="155">
        <f t="shared" si="8"/>
        <v>7202.6578125000015</v>
      </c>
    </row>
    <row r="23" spans="2:12" ht="16" thickBot="1">
      <c r="B23" s="222" t="s">
        <v>246</v>
      </c>
      <c r="C23" s="223" t="s">
        <v>234</v>
      </c>
      <c r="D23" s="65">
        <v>20251.144726562499</v>
      </c>
      <c r="E23" s="65">
        <v>20312.857421875</v>
      </c>
      <c r="F23" s="65"/>
      <c r="G23" s="65">
        <v>17946.5244140625</v>
      </c>
      <c r="H23" s="155">
        <f t="shared" si="9"/>
        <v>17946.5244140625</v>
      </c>
      <c r="I23" s="155">
        <f t="shared" si="5"/>
        <v>17946.5244140625</v>
      </c>
      <c r="J23" s="155">
        <f t="shared" si="6"/>
        <v>17946.5244140625</v>
      </c>
      <c r="K23" s="155">
        <f t="shared" si="7"/>
        <v>17946.5244140625</v>
      </c>
      <c r="L23" s="155">
        <f t="shared" si="8"/>
        <v>17946.5244140625</v>
      </c>
    </row>
    <row r="24" spans="2:12" ht="16" thickBot="1">
      <c r="B24" s="223" t="s">
        <v>247</v>
      </c>
      <c r="C24" s="223" t="s">
        <v>234</v>
      </c>
      <c r="D24" s="65">
        <v>46630.412890624997</v>
      </c>
      <c r="E24" s="65">
        <v>46630.466796875</v>
      </c>
      <c r="F24" s="65"/>
      <c r="G24" s="65">
        <v>46630.433203125001</v>
      </c>
      <c r="H24" s="155">
        <f t="shared" si="9"/>
        <v>46630.433203125001</v>
      </c>
      <c r="I24" s="155">
        <f t="shared" si="5"/>
        <v>46630.433203125001</v>
      </c>
      <c r="J24" s="155">
        <f t="shared" si="6"/>
        <v>46630.433203125001</v>
      </c>
      <c r="K24" s="155">
        <f t="shared" si="7"/>
        <v>46630.433203125001</v>
      </c>
      <c r="L24" s="155">
        <f t="shared" si="8"/>
        <v>46630.433203125001</v>
      </c>
    </row>
    <row r="25" spans="2:12" ht="16" thickBot="1">
      <c r="B25" s="222" t="s">
        <v>248</v>
      </c>
      <c r="C25" s="223" t="s">
        <v>234</v>
      </c>
      <c r="G25" s="234"/>
      <c r="H25" s="234">
        <f>'Grote lisdodde'!C14*'Vergelijk Melkvee BBPR'!C5</f>
        <v>53760</v>
      </c>
      <c r="I25" s="234">
        <f>Hennep!C14*'Vergelijk Melkvee BBPR'!C5</f>
        <v>29489.687500000004</v>
      </c>
      <c r="J25" s="234">
        <f>Miscanthus!C14*'Vergelijk Melkvee BBPR'!C5</f>
        <v>30753.750000000004</v>
      </c>
      <c r="K25" s="234">
        <f>Riet!C14*'Vergelijk Melkvee BBPR'!C5</f>
        <v>47650</v>
      </c>
      <c r="L25" s="234">
        <f>'Gewas vrij invulbaar'!C14*'Vergelijk Melkvee BBPR'!C5</f>
        <v>41428.75</v>
      </c>
    </row>
    <row r="26" spans="2:12" ht="16" thickBot="1">
      <c r="B26" s="222" t="s">
        <v>249</v>
      </c>
      <c r="C26" s="223" t="s">
        <v>234</v>
      </c>
      <c r="D26" s="3">
        <f>D10-D18</f>
        <v>461033.07446896762</v>
      </c>
      <c r="E26" s="3">
        <f t="shared" ref="E26" si="10">E10-E18</f>
        <v>443206.55808036338</v>
      </c>
      <c r="G26" s="3">
        <f>G10-G18</f>
        <v>431884.07787674991</v>
      </c>
      <c r="H26" s="3">
        <f t="shared" ref="H26:K26" si="11">H10-H18</f>
        <v>484696.82787674991</v>
      </c>
      <c r="I26" s="3">
        <f>I10-I18</f>
        <v>434167.14037674991</v>
      </c>
      <c r="J26" s="3">
        <f>J10-J18</f>
        <v>432703.07787674991</v>
      </c>
      <c r="K26" s="3">
        <f t="shared" si="11"/>
        <v>500806.82787674991</v>
      </c>
      <c r="L26" s="3">
        <f>L10-L18</f>
        <v>448778.07787674991</v>
      </c>
    </row>
    <row r="27" spans="2:12" ht="16" thickBot="1">
      <c r="B27" s="222"/>
      <c r="C27" s="223"/>
      <c r="I27" s="3"/>
      <c r="J27" s="3"/>
      <c r="K27" s="3"/>
      <c r="L27" s="3"/>
    </row>
    <row r="28" spans="2:12" s="1" customFormat="1" ht="16" thickBot="1">
      <c r="B28" s="225" t="s">
        <v>250</v>
      </c>
      <c r="C28" s="224" t="s">
        <v>234</v>
      </c>
      <c r="D28" s="6">
        <f t="shared" ref="D28:K28" si="12">SUM(D29:D37)</f>
        <v>372844.14179687499</v>
      </c>
      <c r="E28" s="6">
        <f t="shared" si="12"/>
        <v>370855.6361450195</v>
      </c>
      <c r="F28" s="6"/>
      <c r="G28" s="6">
        <f t="shared" si="12"/>
        <v>380909.03969726566</v>
      </c>
      <c r="H28" s="6">
        <f t="shared" si="12"/>
        <v>408402.72002375376</v>
      </c>
      <c r="I28" s="6">
        <f>SUM(I29:I37)</f>
        <v>397873.10219726566</v>
      </c>
      <c r="J28" s="6">
        <f>SUM(J29:J37)</f>
        <v>391422.39183262445</v>
      </c>
      <c r="K28" s="6">
        <f t="shared" si="12"/>
        <v>399129.77484136401</v>
      </c>
      <c r="L28" s="6">
        <f>SUM(L29:L37)</f>
        <v>385177.78969726566</v>
      </c>
    </row>
    <row r="29" spans="2:12" ht="16" thickBot="1">
      <c r="B29" s="222" t="s">
        <v>251</v>
      </c>
      <c r="C29" s="223" t="s">
        <v>234</v>
      </c>
      <c r="D29" s="65">
        <v>155244.64218749999</v>
      </c>
      <c r="E29" s="65">
        <v>155050.1171875</v>
      </c>
      <c r="F29" s="65"/>
      <c r="G29" s="65">
        <v>152822.50625000001</v>
      </c>
      <c r="H29" s="155">
        <f>+G29</f>
        <v>152822.50625000001</v>
      </c>
      <c r="I29" s="155">
        <f t="shared" ref="I29:I36" si="13">+L29</f>
        <v>152822.50625000001</v>
      </c>
      <c r="J29" s="155">
        <f t="shared" ref="J29:J36" si="14">+K29</f>
        <v>152822.50625000001</v>
      </c>
      <c r="K29" s="155">
        <f t="shared" ref="K29:K36" si="15">+I29</f>
        <v>152822.50625000001</v>
      </c>
      <c r="L29" s="155">
        <f t="shared" ref="L29:L36" si="16">+H29</f>
        <v>152822.50625000001</v>
      </c>
    </row>
    <row r="30" spans="2:12" ht="16" thickBot="1">
      <c r="B30" s="223" t="s">
        <v>252</v>
      </c>
      <c r="C30" s="223" t="s">
        <v>234</v>
      </c>
      <c r="D30" s="65">
        <v>56846.892578125</v>
      </c>
      <c r="E30" s="65">
        <v>56568.046875</v>
      </c>
      <c r="F30" s="65"/>
      <c r="G30" s="65">
        <v>42224.448046874997</v>
      </c>
      <c r="H30" s="155">
        <f t="shared" ref="H30:H36" si="17">+G30</f>
        <v>42224.448046874997</v>
      </c>
      <c r="I30" s="155">
        <f t="shared" si="13"/>
        <v>42224.448046874997</v>
      </c>
      <c r="J30" s="155">
        <f t="shared" si="14"/>
        <v>42224.448046874997</v>
      </c>
      <c r="K30" s="155">
        <f t="shared" si="15"/>
        <v>42224.448046874997</v>
      </c>
      <c r="L30" s="155">
        <f t="shared" si="16"/>
        <v>42224.448046874997</v>
      </c>
    </row>
    <row r="31" spans="2:12" ht="16" thickBot="1">
      <c r="B31" s="222" t="s">
        <v>253</v>
      </c>
      <c r="C31" s="223" t="s">
        <v>234</v>
      </c>
      <c r="D31" s="65">
        <v>3863.5380859375</v>
      </c>
      <c r="E31" s="65">
        <v>3863.5380859375</v>
      </c>
      <c r="F31" s="65"/>
      <c r="G31" s="65">
        <v>3275.59814453125</v>
      </c>
      <c r="H31" s="155">
        <f t="shared" si="17"/>
        <v>3275.59814453125</v>
      </c>
      <c r="I31" s="155">
        <f t="shared" si="13"/>
        <v>3275.59814453125</v>
      </c>
      <c r="J31" s="155">
        <f t="shared" si="14"/>
        <v>3275.59814453125</v>
      </c>
      <c r="K31" s="155">
        <f t="shared" si="15"/>
        <v>3275.59814453125</v>
      </c>
      <c r="L31" s="155">
        <f t="shared" si="16"/>
        <v>3275.59814453125</v>
      </c>
    </row>
    <row r="32" spans="2:12" ht="16" thickBot="1">
      <c r="B32" s="222" t="s">
        <v>254</v>
      </c>
      <c r="C32" s="223" t="s">
        <v>234</v>
      </c>
      <c r="D32" s="65">
        <v>9923.1613281249993</v>
      </c>
      <c r="E32" s="65">
        <v>9604.2697265624993</v>
      </c>
      <c r="F32" s="65"/>
      <c r="G32" s="65">
        <v>7343.9342285156254</v>
      </c>
      <c r="H32" s="155">
        <f t="shared" si="17"/>
        <v>7343.9342285156254</v>
      </c>
      <c r="I32" s="155">
        <f t="shared" si="13"/>
        <v>7343.9342285156254</v>
      </c>
      <c r="J32" s="155">
        <f t="shared" si="14"/>
        <v>7343.9342285156254</v>
      </c>
      <c r="K32" s="155">
        <f t="shared" si="15"/>
        <v>7343.9342285156254</v>
      </c>
      <c r="L32" s="155">
        <f t="shared" si="16"/>
        <v>7343.9342285156254</v>
      </c>
    </row>
    <row r="33" spans="2:12" ht="16" thickBot="1">
      <c r="B33" s="222" t="s">
        <v>255</v>
      </c>
      <c r="C33" s="223" t="s">
        <v>234</v>
      </c>
      <c r="D33" s="65">
        <v>38288.34765625</v>
      </c>
      <c r="E33" s="65">
        <v>38288.34765625</v>
      </c>
      <c r="F33" s="65"/>
      <c r="G33" s="65">
        <v>38288.34765625</v>
      </c>
      <c r="H33" s="155">
        <f t="shared" si="17"/>
        <v>38288.34765625</v>
      </c>
      <c r="I33" s="155">
        <f t="shared" si="13"/>
        <v>38288.34765625</v>
      </c>
      <c r="J33" s="155">
        <f t="shared" si="14"/>
        <v>38288.34765625</v>
      </c>
      <c r="K33" s="155">
        <f t="shared" si="15"/>
        <v>38288.34765625</v>
      </c>
      <c r="L33" s="155">
        <f t="shared" si="16"/>
        <v>38288.34765625</v>
      </c>
    </row>
    <row r="34" spans="2:12" ht="16" thickBot="1">
      <c r="B34" s="222" t="s">
        <v>256</v>
      </c>
      <c r="C34" s="223" t="s">
        <v>234</v>
      </c>
      <c r="D34" s="65">
        <v>17800.000048828122</v>
      </c>
      <c r="E34" s="65">
        <v>19677.193554687499</v>
      </c>
      <c r="F34" s="65"/>
      <c r="G34" s="65">
        <v>34728.524609375003</v>
      </c>
      <c r="H34" s="155">
        <f t="shared" si="17"/>
        <v>34728.524609375003</v>
      </c>
      <c r="I34" s="155">
        <f t="shared" si="13"/>
        <v>34728.524609375003</v>
      </c>
      <c r="J34" s="155">
        <f t="shared" si="14"/>
        <v>34728.524609375003</v>
      </c>
      <c r="K34" s="155">
        <f t="shared" si="15"/>
        <v>34728.524609375003</v>
      </c>
      <c r="L34" s="155">
        <f t="shared" si="16"/>
        <v>34728.524609375003</v>
      </c>
    </row>
    <row r="35" spans="2:12" ht="16" thickBot="1">
      <c r="B35" s="222" t="s">
        <v>257</v>
      </c>
      <c r="C35" s="223"/>
      <c r="D35" s="65">
        <v>4950.6302246093746</v>
      </c>
      <c r="E35" s="65">
        <v>1877.1933715820292</v>
      </c>
      <c r="F35" s="65"/>
      <c r="G35" s="65">
        <v>16928.524511718751</v>
      </c>
      <c r="H35" s="155">
        <f t="shared" si="17"/>
        <v>16928.524511718751</v>
      </c>
      <c r="I35" s="155">
        <f t="shared" si="13"/>
        <v>16928.524511718751</v>
      </c>
      <c r="J35" s="155">
        <f t="shared" si="14"/>
        <v>16928.524511718751</v>
      </c>
      <c r="K35" s="155">
        <f t="shared" si="15"/>
        <v>16928.524511718751</v>
      </c>
      <c r="L35" s="155">
        <f t="shared" si="16"/>
        <v>16928.524511718751</v>
      </c>
    </row>
    <row r="36" spans="2:12" ht="16" thickBot="1">
      <c r="B36" s="223" t="s">
        <v>258</v>
      </c>
      <c r="C36" s="223" t="s">
        <v>234</v>
      </c>
      <c r="D36" s="65">
        <v>85926.9296875</v>
      </c>
      <c r="E36" s="65">
        <v>85926.9296875</v>
      </c>
      <c r="F36" s="65"/>
      <c r="G36" s="65">
        <v>85297.15625</v>
      </c>
      <c r="H36" s="155">
        <f t="shared" si="17"/>
        <v>85297.15625</v>
      </c>
      <c r="I36" s="155">
        <f t="shared" si="13"/>
        <v>85297.15625</v>
      </c>
      <c r="J36" s="155">
        <f t="shared" si="14"/>
        <v>85297.15625</v>
      </c>
      <c r="K36" s="155">
        <f t="shared" si="15"/>
        <v>85297.15625</v>
      </c>
      <c r="L36" s="155">
        <f t="shared" si="16"/>
        <v>85297.15625</v>
      </c>
    </row>
    <row r="37" spans="2:12" ht="16" thickBot="1">
      <c r="B37" s="222" t="s">
        <v>259</v>
      </c>
      <c r="C37" s="223" t="s">
        <v>234</v>
      </c>
      <c r="G37" s="234"/>
      <c r="H37" s="234">
        <f>'Grote lisdodde'!C25*'Vergelijk Melkvee BBPR'!C5</f>
        <v>27493.680326488113</v>
      </c>
      <c r="I37" s="234">
        <f>Hennep!C25*'Vergelijk Melkvee BBPR'!C5</f>
        <v>16964.062499999996</v>
      </c>
      <c r="J37" s="234">
        <f>Miscanthus!C25*'Vergelijk Melkvee BBPR'!C5</f>
        <v>10513.352135358793</v>
      </c>
      <c r="K37" s="234">
        <f>Riet!C25*'Vergelijk Melkvee BBPR'!C5</f>
        <v>18220.73514409834</v>
      </c>
      <c r="L37" s="234">
        <f>'Gewas vrij invulbaar'!C25*'Vergelijk Melkvee BBPR'!C5</f>
        <v>4268.75</v>
      </c>
    </row>
    <row r="38" spans="2:12" ht="16" thickBot="1">
      <c r="B38" s="222"/>
      <c r="C38" s="223"/>
      <c r="I38" s="3"/>
      <c r="J38" s="3"/>
      <c r="K38" s="3"/>
      <c r="L38" s="3"/>
    </row>
    <row r="39" spans="2:12" s="1" customFormat="1" ht="16" thickBot="1">
      <c r="B39" s="225" t="s">
        <v>260</v>
      </c>
      <c r="C39" s="224" t="s">
        <v>234</v>
      </c>
      <c r="D39" s="6">
        <f t="shared" ref="D39:K39" si="18">D26-D28</f>
        <v>88188.932672092633</v>
      </c>
      <c r="E39" s="6">
        <f t="shared" si="18"/>
        <v>72350.921935343882</v>
      </c>
      <c r="F39" s="6"/>
      <c r="G39" s="6">
        <f t="shared" si="18"/>
        <v>50975.038179484254</v>
      </c>
      <c r="H39" s="6">
        <f t="shared" si="18"/>
        <v>76294.107852996152</v>
      </c>
      <c r="I39" s="6">
        <f>I26-I28</f>
        <v>36294.038179484254</v>
      </c>
      <c r="J39" s="6">
        <f>J26-J28</f>
        <v>41280.686044125468</v>
      </c>
      <c r="K39" s="6">
        <f t="shared" si="18"/>
        <v>101677.05303538591</v>
      </c>
      <c r="L39" s="6">
        <f>L26-L28</f>
        <v>63600.288179484254</v>
      </c>
    </row>
    <row r="40" spans="2:12" ht="16" thickBot="1">
      <c r="B40" s="222" t="s">
        <v>261</v>
      </c>
      <c r="C40" s="223" t="s">
        <v>234</v>
      </c>
      <c r="D40" s="235">
        <v>62500</v>
      </c>
      <c r="E40" s="235">
        <v>62500</v>
      </c>
      <c r="F40" s="235"/>
      <c r="G40" s="235">
        <v>62500</v>
      </c>
      <c r="H40">
        <f>+G40</f>
        <v>62500</v>
      </c>
      <c r="I40">
        <f>+L40</f>
        <v>62500</v>
      </c>
      <c r="J40">
        <f>+K40</f>
        <v>62500</v>
      </c>
      <c r="K40">
        <f>+I40</f>
        <v>62500</v>
      </c>
      <c r="L40">
        <f>+H40</f>
        <v>62500</v>
      </c>
    </row>
    <row r="41" spans="2:12" ht="16" thickBot="1">
      <c r="B41" s="222" t="s">
        <v>262</v>
      </c>
      <c r="C41" s="223" t="s">
        <v>234</v>
      </c>
      <c r="D41" s="3">
        <f>D39+D40</f>
        <v>150688.93267209263</v>
      </c>
      <c r="E41" s="3">
        <f t="shared" ref="E41:G41" si="19">E39+E40</f>
        <v>134850.92193534388</v>
      </c>
      <c r="G41" s="3">
        <f t="shared" si="19"/>
        <v>113475.03817948425</v>
      </c>
      <c r="H41" s="3">
        <f>H39+H40</f>
        <v>138794.10785299615</v>
      </c>
      <c r="I41" s="3">
        <f>I39+I40</f>
        <v>98794.038179484254</v>
      </c>
      <c r="J41" s="3">
        <f>J39+J40</f>
        <v>103780.68604412547</v>
      </c>
      <c r="K41" s="3">
        <f t="shared" ref="K41" si="20">K39+K40</f>
        <v>164177.05303538591</v>
      </c>
      <c r="L41" s="3">
        <f>L39+L40</f>
        <v>126100.28817948425</v>
      </c>
    </row>
    <row r="42" spans="2:12" ht="16" thickBot="1">
      <c r="B42" s="222" t="s">
        <v>263</v>
      </c>
      <c r="C42" s="223" t="s">
        <v>234</v>
      </c>
      <c r="D42" s="3">
        <f t="shared" ref="D42:K42" si="21">D41/$C$4</f>
        <v>1369.8993879281149</v>
      </c>
      <c r="E42" s="3">
        <f t="shared" si="21"/>
        <v>1225.9174721394897</v>
      </c>
      <c r="G42" s="3">
        <f t="shared" si="21"/>
        <v>1031.5912561771295</v>
      </c>
      <c r="H42" s="3">
        <f t="shared" si="21"/>
        <v>1261.7646168454196</v>
      </c>
      <c r="I42" s="3">
        <f>I41/$C$4</f>
        <v>898.1276198134932</v>
      </c>
      <c r="J42" s="3">
        <f>J41/$C$4</f>
        <v>943.46078221932248</v>
      </c>
      <c r="K42" s="3">
        <f t="shared" si="21"/>
        <v>1492.5186639580536</v>
      </c>
      <c r="L42" s="3">
        <f>L41/$C$4</f>
        <v>1146.3662561771296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26DE-B8F6-4791-926F-2F5974D1BD3D}">
  <sheetPr>
    <tabColor theme="5" tint="0.39997558519241921"/>
  </sheetPr>
  <dimension ref="B1:AH31"/>
  <sheetViews>
    <sheetView showGridLines="0" topLeftCell="A4" workbookViewId="0">
      <pane xSplit="2" topLeftCell="C1" activePane="topRight" state="frozen"/>
      <selection pane="topRight" activeCell="J34" sqref="J34"/>
    </sheetView>
  </sheetViews>
  <sheetFormatPr defaultColWidth="8.9140625" defaultRowHeight="15.5"/>
  <cols>
    <col min="1" max="1" width="2.9140625" customWidth="1"/>
    <col min="2" max="2" width="41.58203125" customWidth="1"/>
    <col min="3" max="18" width="18.58203125" customWidth="1"/>
    <col min="19" max="31" width="32" customWidth="1"/>
    <col min="32" max="36" width="18.58203125" customWidth="1"/>
  </cols>
  <sheetData>
    <row r="1" spans="2:34">
      <c r="Z1" s="35"/>
    </row>
    <row r="2" spans="2:34" ht="18.5">
      <c r="B2" s="66" t="s">
        <v>264</v>
      </c>
      <c r="C2" s="69"/>
      <c r="D2" s="70"/>
      <c r="E2" s="70"/>
      <c r="F2" s="70"/>
      <c r="G2" s="69"/>
      <c r="H2" s="69"/>
      <c r="I2" s="69"/>
      <c r="J2" s="71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7"/>
      <c r="AA2" s="69"/>
      <c r="AB2" s="69"/>
      <c r="AC2" s="69"/>
      <c r="AD2" s="69"/>
      <c r="AE2" s="69"/>
      <c r="AF2" s="69"/>
      <c r="AG2" s="69"/>
      <c r="AH2" s="69"/>
    </row>
    <row r="3" spans="2:34">
      <c r="Z3" s="35"/>
    </row>
    <row r="4" spans="2:34" ht="17">
      <c r="B4" s="74" t="s">
        <v>265</v>
      </c>
      <c r="C4" s="68"/>
      <c r="D4" s="68"/>
      <c r="E4" s="68"/>
      <c r="F4" s="68"/>
      <c r="G4" s="68"/>
      <c r="H4" s="68"/>
      <c r="J4" s="74" t="s">
        <v>266</v>
      </c>
      <c r="K4" s="68"/>
      <c r="L4" s="68"/>
      <c r="Z4" s="35"/>
    </row>
    <row r="5" spans="2:34">
      <c r="B5" s="1" t="s">
        <v>267</v>
      </c>
      <c r="C5" s="343" t="s">
        <v>268</v>
      </c>
      <c r="D5" s="343"/>
      <c r="E5" s="343" t="s">
        <v>269</v>
      </c>
      <c r="F5" s="343"/>
      <c r="G5" s="2" t="s">
        <v>270</v>
      </c>
      <c r="H5" s="1" t="s">
        <v>271</v>
      </c>
      <c r="Z5" s="35"/>
    </row>
    <row r="6" spans="2:34">
      <c r="B6" s="253">
        <v>5.0000000000000001E-3</v>
      </c>
      <c r="C6" s="342">
        <f>$B6/$J$29*K$30</f>
        <v>14304.5</v>
      </c>
      <c r="D6" s="342"/>
      <c r="E6" s="342">
        <f>$B6/$J$29*L$30</f>
        <v>1245.7083333333335</v>
      </c>
      <c r="F6" s="342"/>
      <c r="G6" s="254">
        <f t="shared" ref="G6:G11" si="0">E6/$L$8</f>
        <v>5.5364814814814825E-3</v>
      </c>
      <c r="H6" s="255">
        <f>$B6/$J$29*O$30</f>
        <v>3056307.5</v>
      </c>
      <c r="J6" t="s">
        <v>272</v>
      </c>
      <c r="L6" s="256">
        <f>'[1]DATA - Variabelen &amp; waarden'!F169</f>
        <v>12</v>
      </c>
      <c r="Z6" s="35"/>
    </row>
    <row r="7" spans="2:34">
      <c r="B7" s="257">
        <f>J29</f>
        <v>0.01</v>
      </c>
      <c r="C7" s="342">
        <f>K30</f>
        <v>28609</v>
      </c>
      <c r="D7" s="342"/>
      <c r="E7" s="342">
        <f>L30</f>
        <v>2491.416666666667</v>
      </c>
      <c r="F7" s="342"/>
      <c r="G7" s="72">
        <f t="shared" si="0"/>
        <v>1.1072962962962965E-2</v>
      </c>
      <c r="H7" s="258">
        <f>O30</f>
        <v>6112615</v>
      </c>
      <c r="J7" t="s">
        <v>273</v>
      </c>
      <c r="L7" s="256">
        <f>'[1]SCENARIO 1 - Gemiddeld'!K116</f>
        <v>0.5</v>
      </c>
      <c r="Z7" s="35"/>
    </row>
    <row r="8" spans="2:34">
      <c r="B8" s="259">
        <v>0.02</v>
      </c>
      <c r="C8" s="342">
        <f>$B8/$J$29*K$30</f>
        <v>57218</v>
      </c>
      <c r="D8" s="342"/>
      <c r="E8" s="342">
        <f>$B8/$J$29*L$30</f>
        <v>4982.8333333333339</v>
      </c>
      <c r="F8" s="342"/>
      <c r="G8" s="72">
        <f t="shared" si="0"/>
        <v>2.214592592592593E-2</v>
      </c>
      <c r="H8" s="255">
        <f>$B8/$J$29*O$30</f>
        <v>12225230</v>
      </c>
      <c r="J8" t="s">
        <v>274</v>
      </c>
      <c r="L8" s="260">
        <v>225000</v>
      </c>
      <c r="Z8" s="35"/>
    </row>
    <row r="9" spans="2:34">
      <c r="B9" s="259">
        <v>0.05</v>
      </c>
      <c r="C9" s="342">
        <f>$B9/$J$29*K$30</f>
        <v>143045</v>
      </c>
      <c r="D9" s="342"/>
      <c r="E9" s="342">
        <f>$B9/$J$29*L$30</f>
        <v>12457.083333333336</v>
      </c>
      <c r="F9" s="342"/>
      <c r="G9" s="72">
        <f t="shared" si="0"/>
        <v>5.5364814814814825E-2</v>
      </c>
      <c r="H9" s="255">
        <f>$B9/$J$29*O$30</f>
        <v>30563075</v>
      </c>
      <c r="Z9" s="35"/>
    </row>
    <row r="10" spans="2:34">
      <c r="B10" s="259">
        <v>0.1</v>
      </c>
      <c r="C10" s="342">
        <f>$B10/$J$29*K$30</f>
        <v>286090</v>
      </c>
      <c r="D10" s="342"/>
      <c r="E10" s="342">
        <f>$B10/$J$29*L$30</f>
        <v>24914.166666666672</v>
      </c>
      <c r="F10" s="342"/>
      <c r="G10" s="72">
        <f t="shared" si="0"/>
        <v>0.11072962962962965</v>
      </c>
      <c r="H10" s="255">
        <f>$B10/$J$29*O$30</f>
        <v>61126150</v>
      </c>
      <c r="J10" t="s">
        <v>275</v>
      </c>
      <c r="L10" s="261" t="s">
        <v>276</v>
      </c>
      <c r="Z10" s="35"/>
    </row>
    <row r="11" spans="2:34">
      <c r="B11" s="259">
        <v>0.5</v>
      </c>
      <c r="C11" s="342">
        <f>$B11/$J$29*K$30</f>
        <v>1430450</v>
      </c>
      <c r="D11" s="342"/>
      <c r="E11" s="342">
        <f>$B11/$J$29*L$30</f>
        <v>124570.83333333334</v>
      </c>
      <c r="F11" s="342"/>
      <c r="G11" s="72">
        <f t="shared" si="0"/>
        <v>0.55364814814814822</v>
      </c>
      <c r="H11" s="255">
        <f>$B11/$J$29*O$30</f>
        <v>305630750</v>
      </c>
      <c r="Z11" s="35"/>
    </row>
    <row r="12" spans="2:34">
      <c r="Z12" s="35"/>
    </row>
    <row r="13" spans="2:34">
      <c r="Z13" s="35"/>
    </row>
    <row r="14" spans="2:34" ht="17">
      <c r="B14" s="74" t="s">
        <v>277</v>
      </c>
      <c r="C14" s="68" t="s">
        <v>278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262" t="s">
        <v>279</v>
      </c>
      <c r="O14" s="262"/>
      <c r="P14" s="262"/>
      <c r="Q14" s="344" t="s">
        <v>280</v>
      </c>
      <c r="R14" s="344"/>
      <c r="S14" s="263" t="s">
        <v>281</v>
      </c>
      <c r="T14" s="264" t="s">
        <v>282</v>
      </c>
      <c r="U14" s="265" t="s">
        <v>283</v>
      </c>
      <c r="V14" s="265" t="s">
        <v>284</v>
      </c>
      <c r="W14" s="264" t="s">
        <v>285</v>
      </c>
      <c r="X14" s="265" t="s">
        <v>286</v>
      </c>
      <c r="Y14" s="266" t="s">
        <v>287</v>
      </c>
      <c r="Z14" s="264" t="s">
        <v>288</v>
      </c>
      <c r="AA14" s="264" t="s">
        <v>289</v>
      </c>
      <c r="AB14" s="266" t="s">
        <v>290</v>
      </c>
      <c r="AC14" s="264" t="s">
        <v>291</v>
      </c>
      <c r="AD14" s="264" t="s">
        <v>292</v>
      </c>
      <c r="AE14" s="267" t="s">
        <v>293</v>
      </c>
      <c r="AF14" s="268" t="s">
        <v>294</v>
      </c>
      <c r="AG14" s="268" t="s">
        <v>295</v>
      </c>
      <c r="AH14" s="268" t="s">
        <v>296</v>
      </c>
    </row>
    <row r="15" spans="2:34">
      <c r="B15" s="1"/>
      <c r="C15" s="1" t="s">
        <v>297</v>
      </c>
      <c r="D15" s="1" t="s">
        <v>298</v>
      </c>
      <c r="E15" s="1" t="s">
        <v>299</v>
      </c>
      <c r="F15" s="1" t="s">
        <v>300</v>
      </c>
      <c r="G15" s="1" t="s">
        <v>301</v>
      </c>
      <c r="H15" s="1" t="s">
        <v>302</v>
      </c>
      <c r="I15" s="1" t="s">
        <v>303</v>
      </c>
      <c r="J15" s="1" t="s">
        <v>304</v>
      </c>
      <c r="K15" s="1" t="s">
        <v>268</v>
      </c>
      <c r="L15" s="1" t="s">
        <v>269</v>
      </c>
      <c r="M15" s="1" t="s">
        <v>305</v>
      </c>
      <c r="N15" s="1" t="s">
        <v>306</v>
      </c>
      <c r="O15" s="1" t="s">
        <v>307</v>
      </c>
      <c r="P15" s="1" t="s">
        <v>308</v>
      </c>
      <c r="Q15" s="207"/>
      <c r="R15" s="269"/>
      <c r="S15" s="1"/>
      <c r="T15" s="97"/>
      <c r="U15" s="1"/>
      <c r="V15" s="1"/>
      <c r="W15" s="97"/>
      <c r="X15" s="1"/>
      <c r="Y15" s="1"/>
      <c r="Z15" s="97"/>
      <c r="AA15" s="1"/>
      <c r="AB15" s="1"/>
      <c r="AC15" s="270"/>
      <c r="AD15" s="1"/>
      <c r="AE15" s="1"/>
      <c r="AF15" s="1"/>
      <c r="AG15" s="1"/>
      <c r="AH15" s="1"/>
    </row>
    <row r="16" spans="2:34">
      <c r="B16" t="str">
        <f>'[1]DATA - Variabelen &amp; waarden'!B282</f>
        <v>Bouw - Isolatieplaat (Typha Board)</v>
      </c>
      <c r="C16" s="345" t="s">
        <v>156</v>
      </c>
      <c r="D16" s="342">
        <v>900000</v>
      </c>
      <c r="E16" s="345">
        <v>1</v>
      </c>
      <c r="F16" s="342">
        <f>E16*D16</f>
        <v>900000</v>
      </c>
      <c r="G16" s="348">
        <v>0.1</v>
      </c>
      <c r="H16" s="350">
        <v>0.8</v>
      </c>
      <c r="I16" s="342">
        <f>F16*G16*H16</f>
        <v>72000</v>
      </c>
      <c r="J16" s="350">
        <v>0.01</v>
      </c>
      <c r="K16" s="342">
        <f t="shared" ref="K16:K25" si="1">I16*J16</f>
        <v>720</v>
      </c>
      <c r="L16" s="342">
        <f>K16/$L$6</f>
        <v>60</v>
      </c>
      <c r="M16" s="348">
        <f>K16/$K$30</f>
        <v>2.5166905519242198E-2</v>
      </c>
      <c r="N16" s="271">
        <f>'[1]DATA - Variabelen &amp; waarden'!F282</f>
        <v>600</v>
      </c>
      <c r="O16" s="271">
        <f>K16*N16*0.5</f>
        <v>216000</v>
      </c>
      <c r="P16" s="272">
        <f t="shared" ref="P16:P28" si="2">O16/$O$30</f>
        <v>3.5336758490433308E-2</v>
      </c>
      <c r="Q16" s="345" t="s">
        <v>309</v>
      </c>
      <c r="R16" s="369">
        <v>1</v>
      </c>
      <c r="S16" s="345" t="s">
        <v>310</v>
      </c>
      <c r="T16" s="362" t="s">
        <v>311</v>
      </c>
      <c r="U16" s="364" t="s">
        <v>312</v>
      </c>
      <c r="V16" s="345"/>
      <c r="W16" s="358"/>
      <c r="X16" s="345"/>
      <c r="Y16" s="345"/>
      <c r="Z16" s="358"/>
      <c r="AA16" s="345"/>
      <c r="AB16" s="345"/>
      <c r="AC16" s="360"/>
      <c r="AD16" s="345"/>
      <c r="AE16" s="345"/>
      <c r="AF16" s="345"/>
      <c r="AG16" s="345"/>
      <c r="AH16" s="345"/>
    </row>
    <row r="17" spans="2:34">
      <c r="B17" s="273" t="str">
        <f>'[1]DATA - Variabelen &amp; waarden'!B283</f>
        <v>Bouw - Inblaasisolatie</v>
      </c>
      <c r="C17" s="346"/>
      <c r="D17" s="347"/>
      <c r="E17" s="346"/>
      <c r="F17" s="347"/>
      <c r="G17" s="349"/>
      <c r="H17" s="351"/>
      <c r="I17" s="347"/>
      <c r="J17" s="351"/>
      <c r="K17" s="347"/>
      <c r="L17" s="347"/>
      <c r="M17" s="349"/>
      <c r="N17" s="274">
        <f>'[1]DATA - Variabelen &amp; waarden'!F283</f>
        <v>1200</v>
      </c>
      <c r="O17" s="274">
        <f>K16*N17*0.5</f>
        <v>432000</v>
      </c>
      <c r="P17" s="275">
        <f t="shared" si="2"/>
        <v>7.0673516980866616E-2</v>
      </c>
      <c r="Q17" s="346"/>
      <c r="R17" s="370"/>
      <c r="S17" s="346"/>
      <c r="T17" s="363"/>
      <c r="U17" s="365"/>
      <c r="V17" s="346"/>
      <c r="W17" s="359"/>
      <c r="X17" s="346"/>
      <c r="Y17" s="346"/>
      <c r="Z17" s="359"/>
      <c r="AA17" s="346"/>
      <c r="AB17" s="346"/>
      <c r="AC17" s="361"/>
      <c r="AD17" s="346"/>
      <c r="AE17" s="346"/>
      <c r="AF17" s="346"/>
      <c r="AG17" s="346"/>
      <c r="AH17" s="346"/>
    </row>
    <row r="18" spans="2:34">
      <c r="B18" s="276" t="str">
        <f>'[1]DATA - Variabelen &amp; waarden'!B284</f>
        <v xml:space="preserve">Bouw - Particle board </v>
      </c>
      <c r="C18" s="352" t="s">
        <v>156</v>
      </c>
      <c r="D18" s="353">
        <v>1155000</v>
      </c>
      <c r="E18" s="352">
        <v>1</v>
      </c>
      <c r="F18" s="353">
        <f>E18*D18</f>
        <v>1155000</v>
      </c>
      <c r="G18" s="354">
        <v>1</v>
      </c>
      <c r="H18" s="355">
        <v>0.8</v>
      </c>
      <c r="I18" s="353">
        <f>F18*G18*H18</f>
        <v>924000</v>
      </c>
      <c r="J18" s="368">
        <v>0.01</v>
      </c>
      <c r="K18" s="353">
        <f t="shared" si="1"/>
        <v>9240</v>
      </c>
      <c r="L18" s="353">
        <f>K18/$L$6</f>
        <v>770</v>
      </c>
      <c r="M18" s="354">
        <f>K18/$K$30</f>
        <v>0.32297528749694154</v>
      </c>
      <c r="N18" s="277">
        <f>'[1]DATA - Variabelen &amp; waarden'!F284</f>
        <v>200</v>
      </c>
      <c r="O18" s="277">
        <f>K18*N18*(1/3)</f>
        <v>616000</v>
      </c>
      <c r="P18" s="278">
        <f t="shared" si="2"/>
        <v>0.10077520013938387</v>
      </c>
      <c r="Q18" s="352" t="s">
        <v>309</v>
      </c>
      <c r="R18" s="371">
        <v>1</v>
      </c>
      <c r="S18" s="352" t="s">
        <v>313</v>
      </c>
      <c r="T18" s="366" t="s">
        <v>314</v>
      </c>
      <c r="U18" s="372" t="s">
        <v>315</v>
      </c>
      <c r="V18" s="352" t="s">
        <v>316</v>
      </c>
      <c r="W18" s="366" t="s">
        <v>317</v>
      </c>
      <c r="X18" s="372" t="s">
        <v>318</v>
      </c>
      <c r="Y18" s="352" t="s">
        <v>319</v>
      </c>
      <c r="Z18" s="366" t="s">
        <v>320</v>
      </c>
      <c r="AA18" s="372" t="s">
        <v>321</v>
      </c>
      <c r="AB18" s="352" t="s">
        <v>322</v>
      </c>
      <c r="AC18" s="366" t="s">
        <v>323</v>
      </c>
      <c r="AD18" s="372" t="s">
        <v>324</v>
      </c>
      <c r="AE18" s="276"/>
      <c r="AF18" s="276"/>
      <c r="AG18" s="276"/>
      <c r="AH18" s="276"/>
    </row>
    <row r="19" spans="2:34">
      <c r="B19" t="str">
        <f>'[1]DATA - Variabelen &amp; waarden'!B285</f>
        <v xml:space="preserve">Bouw - Binderless board </v>
      </c>
      <c r="C19" s="345"/>
      <c r="D19" s="342"/>
      <c r="E19" s="345"/>
      <c r="F19" s="342"/>
      <c r="G19" s="348"/>
      <c r="H19" s="356"/>
      <c r="I19" s="342"/>
      <c r="J19" s="350"/>
      <c r="K19" s="342"/>
      <c r="L19" s="342"/>
      <c r="M19" s="348"/>
      <c r="N19" s="271">
        <f>'[1]DATA - Variabelen &amp; waarden'!F285</f>
        <v>400</v>
      </c>
      <c r="O19" s="271">
        <f>K18*N19*(1/3)</f>
        <v>1232000</v>
      </c>
      <c r="P19" s="272">
        <f t="shared" si="2"/>
        <v>0.20155040027876775</v>
      </c>
      <c r="Q19" s="345"/>
      <c r="R19" s="369"/>
      <c r="S19" s="345"/>
      <c r="T19" s="367"/>
      <c r="U19" s="364"/>
      <c r="V19" s="345"/>
      <c r="W19" s="367"/>
      <c r="X19" s="364"/>
      <c r="Y19" s="345"/>
      <c r="Z19" s="367"/>
      <c r="AA19" s="364"/>
      <c r="AB19" s="345"/>
      <c r="AC19" s="367"/>
      <c r="AD19" s="364"/>
    </row>
    <row r="20" spans="2:34">
      <c r="B20" s="273" t="str">
        <f>'[1]DATA - Variabelen &amp; waarden'!B286</f>
        <v>Bouw - Cellulose fibre board (ECOR)</v>
      </c>
      <c r="C20" s="346"/>
      <c r="D20" s="347"/>
      <c r="E20" s="346"/>
      <c r="F20" s="347"/>
      <c r="G20" s="349"/>
      <c r="H20" s="357"/>
      <c r="I20" s="347"/>
      <c r="J20" s="351"/>
      <c r="K20" s="347"/>
      <c r="L20" s="347"/>
      <c r="M20" s="349"/>
      <c r="N20" s="274">
        <f>'[1]DATA - Variabelen &amp; waarden'!F286</f>
        <v>100</v>
      </c>
      <c r="O20" s="274">
        <f>K18*N20*(1/3)</f>
        <v>308000</v>
      </c>
      <c r="P20" s="275">
        <f t="shared" si="2"/>
        <v>5.0387600069691937E-2</v>
      </c>
      <c r="Q20" s="346"/>
      <c r="R20" s="370"/>
      <c r="S20" s="346"/>
      <c r="T20" s="363"/>
      <c r="U20" s="365"/>
      <c r="V20" s="346"/>
      <c r="W20" s="363"/>
      <c r="X20" s="365"/>
      <c r="Y20" s="346"/>
      <c r="Z20" s="363"/>
      <c r="AA20" s="365"/>
      <c r="AB20" s="346"/>
      <c r="AC20" s="363"/>
      <c r="AD20" s="365"/>
      <c r="AE20" s="273"/>
      <c r="AF20" s="273"/>
      <c r="AG20" s="273"/>
      <c r="AH20" s="273"/>
    </row>
    <row r="21" spans="2:34">
      <c r="B21" t="str">
        <f>'[1]DATA - Variabelen &amp; waarden'!B287</f>
        <v>Bouw - Beton - Vuller</v>
      </c>
      <c r="C21" t="s">
        <v>325</v>
      </c>
      <c r="D21" s="279">
        <f>14000000*(975/1000)</f>
        <v>13650000</v>
      </c>
      <c r="E21">
        <v>2.2999999999999998</v>
      </c>
      <c r="F21" s="279">
        <f>E21*D21</f>
        <v>31394999.999999996</v>
      </c>
      <c r="G21" s="280">
        <v>0.1</v>
      </c>
      <c r="H21" s="4">
        <v>0.1</v>
      </c>
      <c r="I21" s="279">
        <f>F21*G21*H21</f>
        <v>313950</v>
      </c>
      <c r="J21" s="280">
        <v>0.01</v>
      </c>
      <c r="K21" s="279">
        <f t="shared" si="1"/>
        <v>3139.5</v>
      </c>
      <c r="L21" s="279">
        <f>K21/$L$6</f>
        <v>261.625</v>
      </c>
      <c r="M21" s="4">
        <f>K21/$K$30</f>
        <v>0.10973819427452899</v>
      </c>
      <c r="N21" s="281">
        <f>'[1]DATA - Variabelen &amp; waarden'!F287</f>
        <v>175</v>
      </c>
      <c r="O21" s="281">
        <f>K21*N21</f>
        <v>549412.5</v>
      </c>
      <c r="P21" s="4">
        <f t="shared" si="2"/>
        <v>8.9881744556135137E-2</v>
      </c>
      <c r="Q21" t="s">
        <v>309</v>
      </c>
      <c r="R21" s="34">
        <v>1</v>
      </c>
      <c r="S21" t="s">
        <v>326</v>
      </c>
      <c r="T21" s="86" t="s">
        <v>327</v>
      </c>
      <c r="U21" t="s">
        <v>328</v>
      </c>
      <c r="V21" t="s">
        <v>329</v>
      </c>
      <c r="W21" s="86" t="s">
        <v>330</v>
      </c>
      <c r="X21" t="s">
        <v>331</v>
      </c>
      <c r="Y21" t="s">
        <v>332</v>
      </c>
      <c r="Z21" s="86" t="s">
        <v>333</v>
      </c>
      <c r="AA21" t="s">
        <v>334</v>
      </c>
      <c r="AC21" s="39"/>
    </row>
    <row r="22" spans="2:34">
      <c r="B22" s="282" t="str">
        <f>'[1]DATA - Variabelen &amp; waarden'!B288</f>
        <v>Bouw - Beton - Droge mortel - Versterker</v>
      </c>
      <c r="C22" s="282" t="s">
        <v>325</v>
      </c>
      <c r="D22" s="283">
        <f>14000000*(25/1000)</f>
        <v>350000</v>
      </c>
      <c r="E22" s="282">
        <v>2</v>
      </c>
      <c r="F22" s="283">
        <f>E22*D22</f>
        <v>700000</v>
      </c>
      <c r="G22" s="284">
        <v>0.8</v>
      </c>
      <c r="H22" s="285">
        <v>0.01</v>
      </c>
      <c r="I22" s="283">
        <f>F22*G22*H22</f>
        <v>5600</v>
      </c>
      <c r="J22" s="284">
        <v>0.01</v>
      </c>
      <c r="K22" s="283">
        <f t="shared" si="1"/>
        <v>56</v>
      </c>
      <c r="L22" s="283">
        <f>K22/$L$7</f>
        <v>112</v>
      </c>
      <c r="M22" s="286">
        <f>K22/$K$30</f>
        <v>1.9574259848299485E-3</v>
      </c>
      <c r="N22" s="287">
        <f>'[1]DATA - Variabelen &amp; waarden'!F288</f>
        <v>1290</v>
      </c>
      <c r="O22" s="287">
        <f>K22*N22</f>
        <v>72240</v>
      </c>
      <c r="P22" s="285">
        <f t="shared" si="2"/>
        <v>1.1818182561800472E-2</v>
      </c>
      <c r="Q22" s="282" t="s">
        <v>309</v>
      </c>
      <c r="R22" s="288">
        <v>1</v>
      </c>
      <c r="S22" s="282" t="s">
        <v>326</v>
      </c>
      <c r="T22" s="289" t="s">
        <v>335</v>
      </c>
      <c r="U22" s="282" t="s">
        <v>328</v>
      </c>
      <c r="V22" s="282" t="s">
        <v>336</v>
      </c>
      <c r="W22" s="289" t="s">
        <v>337</v>
      </c>
      <c r="X22" s="282" t="s">
        <v>338</v>
      </c>
      <c r="Y22" s="282"/>
      <c r="Z22" s="289"/>
      <c r="AA22" s="282"/>
      <c r="AB22" s="282"/>
      <c r="AC22" s="290"/>
      <c r="AD22" s="282"/>
      <c r="AE22" s="282"/>
      <c r="AF22" s="282"/>
      <c r="AG22" s="282"/>
      <c r="AH22" s="282"/>
    </row>
    <row r="23" spans="2:34">
      <c r="B23" t="str">
        <f>'[1]DATA - Variabelen &amp; waarden'!B289</f>
        <v xml:space="preserve">Plastics - Spuitgieten - Vuller </v>
      </c>
      <c r="C23" s="352" t="s">
        <v>156</v>
      </c>
      <c r="D23" s="353">
        <v>1876000</v>
      </c>
      <c r="E23" s="352">
        <v>1</v>
      </c>
      <c r="F23" s="353">
        <f>E23*D23</f>
        <v>1876000</v>
      </c>
      <c r="G23" s="354">
        <v>0.15</v>
      </c>
      <c r="H23" s="354">
        <v>0.25</v>
      </c>
      <c r="I23" s="353">
        <f>F23*G23*H23</f>
        <v>70350</v>
      </c>
      <c r="J23" s="368">
        <v>0.01</v>
      </c>
      <c r="K23" s="353">
        <f t="shared" si="1"/>
        <v>703.5</v>
      </c>
      <c r="L23" s="353">
        <f>K23/$L$6</f>
        <v>58.625</v>
      </c>
      <c r="M23" s="354">
        <f>K23/$K$30</f>
        <v>2.4590163934426229E-2</v>
      </c>
      <c r="N23" s="281">
        <f>'[1]DATA - Variabelen &amp; waarden'!F289</f>
        <v>300</v>
      </c>
      <c r="O23" s="281">
        <f>K23*N23*0.75</f>
        <v>158287.5</v>
      </c>
      <c r="P23" s="4">
        <f t="shared" si="2"/>
        <v>2.5895218331270658E-2</v>
      </c>
      <c r="Q23" s="352" t="s">
        <v>309</v>
      </c>
      <c r="R23" s="371">
        <v>1</v>
      </c>
      <c r="S23" s="352" t="s">
        <v>339</v>
      </c>
      <c r="T23" s="366" t="s">
        <v>340</v>
      </c>
      <c r="U23" s="372" t="s">
        <v>341</v>
      </c>
      <c r="V23" s="352" t="s">
        <v>342</v>
      </c>
      <c r="W23" s="380" t="s">
        <v>343</v>
      </c>
      <c r="X23" s="372" t="s">
        <v>344</v>
      </c>
      <c r="Y23" s="352" t="s">
        <v>345</v>
      </c>
      <c r="Z23" s="380" t="s">
        <v>346</v>
      </c>
      <c r="AA23" s="352" t="s">
        <v>338</v>
      </c>
      <c r="AB23" s="352"/>
      <c r="AC23" s="379"/>
      <c r="AD23" s="352"/>
      <c r="AE23" s="352"/>
      <c r="AF23" s="352"/>
      <c r="AG23" s="352"/>
      <c r="AH23" s="352"/>
    </row>
    <row r="24" spans="2:34">
      <c r="B24" t="str">
        <f>'[1]DATA - Variabelen &amp; waarden'!B290</f>
        <v>Plastics - Composiet matrix</v>
      </c>
      <c r="C24" s="346"/>
      <c r="D24" s="347"/>
      <c r="E24" s="346"/>
      <c r="F24" s="347"/>
      <c r="G24" s="349"/>
      <c r="H24" s="349"/>
      <c r="I24" s="347"/>
      <c r="J24" s="351"/>
      <c r="K24" s="347"/>
      <c r="L24" s="347"/>
      <c r="M24" s="349"/>
      <c r="N24" s="281">
        <f>'[1]DATA - Variabelen &amp; waarden'!F290</f>
        <v>200</v>
      </c>
      <c r="O24" s="281">
        <f>K23*N24*0.25</f>
        <v>35175</v>
      </c>
      <c r="P24" s="291">
        <f t="shared" si="2"/>
        <v>5.7544929625045907E-3</v>
      </c>
      <c r="Q24" s="346"/>
      <c r="R24" s="370"/>
      <c r="S24" s="346"/>
      <c r="T24" s="363"/>
      <c r="U24" s="365"/>
      <c r="V24" s="346"/>
      <c r="W24" s="359"/>
      <c r="X24" s="365"/>
      <c r="Y24" s="346"/>
      <c r="Z24" s="359"/>
      <c r="AA24" s="346"/>
      <c r="AB24" s="346"/>
      <c r="AC24" s="361"/>
      <c r="AD24" s="346"/>
      <c r="AE24" s="346"/>
      <c r="AF24" s="346"/>
      <c r="AG24" s="346"/>
      <c r="AH24" s="346"/>
    </row>
    <row r="25" spans="2:34">
      <c r="B25" s="276" t="str">
        <f>'[1]DATA - Variabelen &amp; waarden'!B291</f>
        <v xml:space="preserve">Papier - Moulded fibre </v>
      </c>
      <c r="C25" s="373" t="s">
        <v>156</v>
      </c>
      <c r="D25" s="353">
        <v>3000000</v>
      </c>
      <c r="E25" s="376">
        <v>1</v>
      </c>
      <c r="F25" s="353">
        <f>E25*D25</f>
        <v>3000000</v>
      </c>
      <c r="G25" s="354">
        <v>1</v>
      </c>
      <c r="H25" s="354">
        <v>0.1</v>
      </c>
      <c r="I25" s="353">
        <f>F25*G25*H25</f>
        <v>300000</v>
      </c>
      <c r="J25" s="368">
        <v>0.01</v>
      </c>
      <c r="K25" s="353">
        <f t="shared" si="1"/>
        <v>3000</v>
      </c>
      <c r="L25" s="353">
        <f>K25/$L$6</f>
        <v>250</v>
      </c>
      <c r="M25" s="354">
        <f>K25/$K$30</f>
        <v>0.10486210633017581</v>
      </c>
      <c r="N25" s="277">
        <f>'[1]DATA - Variabelen &amp; waarden'!F291</f>
        <v>50</v>
      </c>
      <c r="O25" s="277">
        <f>K25*N25*0.9</f>
        <v>135000</v>
      </c>
      <c r="P25" s="278">
        <f t="shared" si="2"/>
        <v>2.2085474056520817E-2</v>
      </c>
      <c r="Q25" s="352" t="s">
        <v>309</v>
      </c>
      <c r="R25" s="371">
        <v>1</v>
      </c>
      <c r="S25" s="352" t="s">
        <v>347</v>
      </c>
      <c r="T25" s="380" t="s">
        <v>348</v>
      </c>
      <c r="U25" s="372" t="s">
        <v>349</v>
      </c>
      <c r="V25" s="352" t="s">
        <v>350</v>
      </c>
      <c r="W25" s="380" t="s">
        <v>351</v>
      </c>
      <c r="X25" s="381" t="s">
        <v>352</v>
      </c>
      <c r="Y25" s="384"/>
      <c r="Z25" s="387"/>
      <c r="AA25" s="384"/>
      <c r="AB25" s="384"/>
      <c r="AC25" s="390"/>
      <c r="AD25" s="384"/>
      <c r="AE25" s="384"/>
      <c r="AF25" s="384"/>
      <c r="AG25" s="384"/>
      <c r="AH25" s="384"/>
    </row>
    <row r="26" spans="2:34">
      <c r="B26" t="str">
        <f>'[1]DATA - Variabelen &amp; waarden'!B292</f>
        <v>Papier - Massief karton - Vuller</v>
      </c>
      <c r="C26" s="374"/>
      <c r="D26" s="342"/>
      <c r="E26" s="377"/>
      <c r="F26" s="342"/>
      <c r="G26" s="348"/>
      <c r="H26" s="348"/>
      <c r="I26" s="342"/>
      <c r="J26" s="350"/>
      <c r="K26" s="342"/>
      <c r="L26" s="342"/>
      <c r="M26" s="348"/>
      <c r="N26" s="271">
        <f>'[1]DATA - Variabelen &amp; waarden'!F292</f>
        <v>200</v>
      </c>
      <c r="O26" s="271">
        <f>K25*N26*0.095</f>
        <v>57000</v>
      </c>
      <c r="P26" s="272">
        <f t="shared" si="2"/>
        <v>9.3249779349754564E-3</v>
      </c>
      <c r="Q26" s="345"/>
      <c r="R26" s="369"/>
      <c r="S26" s="345"/>
      <c r="T26" s="358"/>
      <c r="U26" s="364"/>
      <c r="V26" s="345"/>
      <c r="W26" s="358"/>
      <c r="X26" s="382"/>
      <c r="Y26" s="385"/>
      <c r="Z26" s="388"/>
      <c r="AA26" s="385"/>
      <c r="AB26" s="385"/>
      <c r="AC26" s="391"/>
      <c r="AD26" s="385"/>
      <c r="AE26" s="385"/>
      <c r="AF26" s="385"/>
      <c r="AG26" s="385"/>
      <c r="AH26" s="385"/>
    </row>
    <row r="27" spans="2:34">
      <c r="B27" s="273" t="str">
        <f>'[1]DATA - Variabelen &amp; waarden'!B293</f>
        <v xml:space="preserve">Papier - Decoratie </v>
      </c>
      <c r="C27" s="375"/>
      <c r="D27" s="347"/>
      <c r="E27" s="378"/>
      <c r="F27" s="347"/>
      <c r="G27" s="349"/>
      <c r="H27" s="349"/>
      <c r="I27" s="347"/>
      <c r="J27" s="351"/>
      <c r="K27" s="347"/>
      <c r="L27" s="347"/>
      <c r="M27" s="349"/>
      <c r="N27" s="274">
        <f>'[1]DATA - Variabelen &amp; waarden'!F293</f>
        <v>100</v>
      </c>
      <c r="O27" s="274">
        <f>K25*N27*0.005</f>
        <v>1500</v>
      </c>
      <c r="P27" s="292">
        <f t="shared" si="2"/>
        <v>2.4539415618356463E-4</v>
      </c>
      <c r="Q27" s="346"/>
      <c r="R27" s="370"/>
      <c r="S27" s="346"/>
      <c r="T27" s="359"/>
      <c r="U27" s="365"/>
      <c r="V27" s="346"/>
      <c r="W27" s="359"/>
      <c r="X27" s="383"/>
      <c r="Y27" s="386"/>
      <c r="Z27" s="389"/>
      <c r="AA27" s="386"/>
      <c r="AB27" s="386"/>
      <c r="AC27" s="392"/>
      <c r="AD27" s="386"/>
      <c r="AE27" s="386"/>
      <c r="AF27" s="386"/>
      <c r="AG27" s="386"/>
      <c r="AH27" s="386"/>
    </row>
    <row r="28" spans="2:34">
      <c r="B28" s="282" t="str">
        <f>'[1]DATA - Variabelen &amp; waarden'!B294</f>
        <v>Substraat - Oesterzwammen</v>
      </c>
      <c r="C28" s="282" t="s">
        <v>156</v>
      </c>
      <c r="D28" s="283">
        <v>50000</v>
      </c>
      <c r="E28" s="293">
        <v>1</v>
      </c>
      <c r="F28" s="283">
        <f>E28*D28</f>
        <v>50000</v>
      </c>
      <c r="G28" s="285">
        <v>1</v>
      </c>
      <c r="H28" s="294">
        <v>1</v>
      </c>
      <c r="I28" s="283">
        <f>F28*G28*H28</f>
        <v>50000</v>
      </c>
      <c r="J28" s="284">
        <v>0.01</v>
      </c>
      <c r="K28" s="283">
        <f>I28*J28</f>
        <v>500</v>
      </c>
      <c r="L28" s="283">
        <f>K28/$L$6</f>
        <v>41.666666666666664</v>
      </c>
      <c r="M28" s="285">
        <f>K28/$K$30</f>
        <v>1.7477017721695971E-2</v>
      </c>
      <c r="N28" s="287">
        <f>'[1]DATA - Variabelen &amp; waarden'!F294</f>
        <v>100</v>
      </c>
      <c r="O28" s="287">
        <f>K28*N28</f>
        <v>50000</v>
      </c>
      <c r="P28" s="285">
        <f t="shared" si="2"/>
        <v>8.1798052061188217E-3</v>
      </c>
      <c r="Q28" s="282" t="s">
        <v>309</v>
      </c>
      <c r="R28" s="288">
        <v>1</v>
      </c>
      <c r="S28" s="282" t="s">
        <v>353</v>
      </c>
      <c r="T28" s="289" t="s">
        <v>354</v>
      </c>
      <c r="U28" s="282" t="s">
        <v>352</v>
      </c>
      <c r="V28" s="282"/>
      <c r="W28" s="289"/>
      <c r="X28" s="282"/>
      <c r="Y28" s="282"/>
      <c r="Z28" s="289"/>
      <c r="AA28" s="282"/>
      <c r="AB28" s="282"/>
      <c r="AC28" s="290"/>
      <c r="AD28" s="282"/>
      <c r="AE28" s="282"/>
      <c r="AF28" s="282"/>
      <c r="AG28" s="282"/>
      <c r="AH28" s="282"/>
    </row>
    <row r="29" spans="2:34">
      <c r="B29" t="str">
        <f>'[1]DATA - Variabelen &amp; waarden'!B295</f>
        <v>Substraat - Turf &amp; veenvervangers</v>
      </c>
      <c r="C29" t="s">
        <v>325</v>
      </c>
      <c r="D29" s="279">
        <v>7500000</v>
      </c>
      <c r="E29" s="295">
        <v>0.15</v>
      </c>
      <c r="F29" s="279">
        <f>E29*D29</f>
        <v>1125000</v>
      </c>
      <c r="G29" s="272">
        <v>1</v>
      </c>
      <c r="H29" s="38">
        <v>1</v>
      </c>
      <c r="I29" s="279">
        <f>F29*G29*H29</f>
        <v>1125000</v>
      </c>
      <c r="J29" s="296">
        <v>0.01</v>
      </c>
      <c r="K29" s="279">
        <f>I29*J29</f>
        <v>11250</v>
      </c>
      <c r="L29" s="279">
        <f>K29/$L$6</f>
        <v>937.5</v>
      </c>
      <c r="M29" s="272">
        <f>K29/$K$30</f>
        <v>0.39323289873815931</v>
      </c>
      <c r="N29" s="271">
        <f>'[1]DATA - Variabelen &amp; waarden'!F295</f>
        <v>200</v>
      </c>
      <c r="O29" s="271">
        <f>K29*N29</f>
        <v>2250000</v>
      </c>
      <c r="P29" s="272">
        <f>O29/$O$30</f>
        <v>0.36809123427534696</v>
      </c>
      <c r="Q29" t="s">
        <v>309</v>
      </c>
      <c r="R29" s="34">
        <v>1</v>
      </c>
      <c r="S29" t="s">
        <v>355</v>
      </c>
      <c r="T29" s="86" t="s">
        <v>356</v>
      </c>
      <c r="U29" t="s">
        <v>357</v>
      </c>
      <c r="V29" t="s">
        <v>358</v>
      </c>
      <c r="W29" s="39" t="s">
        <v>359</v>
      </c>
      <c r="X29" s="39" t="s">
        <v>360</v>
      </c>
      <c r="Z29" s="35"/>
      <c r="AE29" t="s">
        <v>361</v>
      </c>
    </row>
    <row r="30" spans="2:34">
      <c r="B30" s="297" t="s">
        <v>118</v>
      </c>
      <c r="C30" s="297"/>
      <c r="D30" s="297"/>
      <c r="E30" s="297"/>
      <c r="F30" s="297"/>
      <c r="G30" s="297"/>
      <c r="H30" s="297"/>
      <c r="I30" s="298"/>
      <c r="J30" s="297"/>
      <c r="K30" s="298">
        <f>SUM(K16:K29)</f>
        <v>28609</v>
      </c>
      <c r="L30" s="298">
        <f>SUM(L16:L29)</f>
        <v>2491.416666666667</v>
      </c>
      <c r="M30" s="299">
        <f>SUM(M16:M29)</f>
        <v>1</v>
      </c>
      <c r="N30" s="297"/>
      <c r="O30" s="300">
        <f>SUM(O16:O29)</f>
        <v>6112615</v>
      </c>
      <c r="P30" s="299">
        <f>SUM(P16:P29)</f>
        <v>0.99999999999999989</v>
      </c>
      <c r="Q30" s="297"/>
      <c r="R30" s="297"/>
      <c r="S30" s="297"/>
      <c r="T30" s="297"/>
      <c r="U30" s="297"/>
      <c r="V30" s="297"/>
      <c r="W30" s="297"/>
      <c r="X30" s="297"/>
      <c r="Y30" s="297"/>
      <c r="Z30" s="301"/>
      <c r="AA30" s="297"/>
      <c r="AB30" s="297"/>
      <c r="AC30" s="297"/>
      <c r="AD30" s="297"/>
      <c r="AE30" s="297"/>
      <c r="AF30" s="297"/>
      <c r="AG30" s="297"/>
      <c r="AH30" s="297"/>
    </row>
    <row r="31" spans="2:34">
      <c r="Z31" s="35"/>
    </row>
  </sheetData>
  <mergeCells count="127">
    <mergeCell ref="AF25:AF27"/>
    <mergeCell ref="AG25:AG27"/>
    <mergeCell ref="AH25:AH27"/>
    <mergeCell ref="Z25:Z27"/>
    <mergeCell ref="AA25:AA27"/>
    <mergeCell ref="AB25:AB27"/>
    <mergeCell ref="AC25:AC27"/>
    <mergeCell ref="AD25:AD27"/>
    <mergeCell ref="AE25:AE27"/>
    <mergeCell ref="T25:T27"/>
    <mergeCell ref="U25:U27"/>
    <mergeCell ref="V25:V27"/>
    <mergeCell ref="W25:W27"/>
    <mergeCell ref="X25:X27"/>
    <mergeCell ref="Y25:Y27"/>
    <mergeCell ref="K25:K27"/>
    <mergeCell ref="L25:L27"/>
    <mergeCell ref="M25:M27"/>
    <mergeCell ref="Q25:Q27"/>
    <mergeCell ref="R25:R27"/>
    <mergeCell ref="S25:S27"/>
    <mergeCell ref="AG23:AG24"/>
    <mergeCell ref="AH23:AH24"/>
    <mergeCell ref="C25:C27"/>
    <mergeCell ref="D25:D27"/>
    <mergeCell ref="E25:E27"/>
    <mergeCell ref="F25:F27"/>
    <mergeCell ref="G25:G27"/>
    <mergeCell ref="H25:H27"/>
    <mergeCell ref="I25:I27"/>
    <mergeCell ref="J25:J27"/>
    <mergeCell ref="AA23:AA24"/>
    <mergeCell ref="AB23:AB24"/>
    <mergeCell ref="AC23:AC24"/>
    <mergeCell ref="AD23:AD24"/>
    <mergeCell ref="AE23:AE24"/>
    <mergeCell ref="AF23:AF24"/>
    <mergeCell ref="U23:U24"/>
    <mergeCell ref="V23:V24"/>
    <mergeCell ref="W23:W24"/>
    <mergeCell ref="X23:X24"/>
    <mergeCell ref="Y23:Y24"/>
    <mergeCell ref="Z23:Z24"/>
    <mergeCell ref="L23:L24"/>
    <mergeCell ref="M23:M24"/>
    <mergeCell ref="Q23:Q24"/>
    <mergeCell ref="R23:R24"/>
    <mergeCell ref="S23:S24"/>
    <mergeCell ref="T23:T24"/>
    <mergeCell ref="AD18:AD20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X18:X20"/>
    <mergeCell ref="Y18:Y20"/>
    <mergeCell ref="Z18:Z20"/>
    <mergeCell ref="AA18:AA20"/>
    <mergeCell ref="AB18:AB20"/>
    <mergeCell ref="AC18:AC20"/>
    <mergeCell ref="R18:R20"/>
    <mergeCell ref="S18:S20"/>
    <mergeCell ref="T18:T20"/>
    <mergeCell ref="U18:U20"/>
    <mergeCell ref="V18:V20"/>
    <mergeCell ref="W18:W20"/>
    <mergeCell ref="I18:I20"/>
    <mergeCell ref="J18:J20"/>
    <mergeCell ref="K18:K20"/>
    <mergeCell ref="L18:L20"/>
    <mergeCell ref="M18:M20"/>
    <mergeCell ref="Q18:Q20"/>
    <mergeCell ref="AE16:AE17"/>
    <mergeCell ref="M16:M17"/>
    <mergeCell ref="Q16:Q17"/>
    <mergeCell ref="R16:R17"/>
    <mergeCell ref="AF16:AF17"/>
    <mergeCell ref="AG16:AG17"/>
    <mergeCell ref="AH16:AH17"/>
    <mergeCell ref="C18:C20"/>
    <mergeCell ref="D18:D20"/>
    <mergeCell ref="E18:E20"/>
    <mergeCell ref="F18:F20"/>
    <mergeCell ref="G18:G20"/>
    <mergeCell ref="H18:H20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J16:J17"/>
    <mergeCell ref="K16:K17"/>
    <mergeCell ref="L16:L17"/>
    <mergeCell ref="C11:D11"/>
    <mergeCell ref="E11:F11"/>
    <mergeCell ref="Q14:R14"/>
    <mergeCell ref="C16:C17"/>
    <mergeCell ref="D16:D17"/>
    <mergeCell ref="E16:E17"/>
    <mergeCell ref="F16:F17"/>
    <mergeCell ref="G16:G17"/>
    <mergeCell ref="H16:H17"/>
    <mergeCell ref="I16:I17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</mergeCells>
  <conditionalFormatting sqref="R15:R16 R28:R29 R18 R21:R23 R25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6AF9-4AA1-0B42-AF4F-046FC4C37DBC}">
  <sheetPr>
    <tabColor rgb="FF0070C0"/>
  </sheetPr>
  <dimension ref="A2:AD417"/>
  <sheetViews>
    <sheetView showGridLines="0" zoomScaleNormal="100" workbookViewId="0">
      <pane xSplit="2" ySplit="2" topLeftCell="C3" activePane="bottomRight" state="frozen"/>
      <selection pane="topRight" activeCell="D55" sqref="D55"/>
      <selection pane="bottomLeft" activeCell="D55" sqref="D55"/>
      <selection pane="bottomRight" activeCell="A418" sqref="A418:XFD472"/>
    </sheetView>
  </sheetViews>
  <sheetFormatPr defaultColWidth="11" defaultRowHeight="15.5"/>
  <cols>
    <col min="1" max="1" width="3.08203125" customWidth="1"/>
    <col min="2" max="2" width="42.4140625" customWidth="1"/>
    <col min="3" max="3" width="10.08203125" bestFit="1" customWidth="1"/>
    <col min="4" max="4" width="8.9140625" customWidth="1"/>
    <col min="5" max="6" width="14.5" customWidth="1"/>
    <col min="7" max="7" width="14" customWidth="1"/>
    <col min="8" max="8" width="56.08203125" customWidth="1"/>
    <col min="9" max="9" width="20.4140625" customWidth="1"/>
    <col min="10" max="10" width="8.58203125" style="35" customWidth="1"/>
    <col min="11" max="11" width="38.4140625" customWidth="1"/>
    <col min="12" max="12" width="26.9140625" style="86" customWidth="1"/>
    <col min="13" max="13" width="33.5" bestFit="1" customWidth="1"/>
    <col min="14" max="14" width="40.08203125" bestFit="1" customWidth="1"/>
    <col min="15" max="15" width="50.9140625" style="86" customWidth="1"/>
    <col min="16" max="16" width="27.08203125" bestFit="1" customWidth="1"/>
    <col min="17" max="17" width="37" bestFit="1" customWidth="1"/>
    <col min="18" max="18" width="21.9140625" style="86" bestFit="1" customWidth="1"/>
    <col min="19" max="19" width="23.5" bestFit="1" customWidth="1"/>
    <col min="20" max="20" width="19.08203125" customWidth="1"/>
    <col min="21" max="21" width="16.58203125" customWidth="1"/>
    <col min="22" max="22" width="18" customWidth="1"/>
  </cols>
  <sheetData>
    <row r="2" spans="2:22" ht="18.5">
      <c r="B2" s="66" t="s">
        <v>365</v>
      </c>
      <c r="C2" s="67"/>
      <c r="D2" s="67"/>
      <c r="E2" s="67"/>
      <c r="F2" s="67"/>
      <c r="G2" s="67"/>
      <c r="H2" s="67"/>
      <c r="I2" s="67"/>
      <c r="J2" s="67"/>
      <c r="K2" s="67"/>
      <c r="L2" s="91"/>
      <c r="M2" s="67"/>
      <c r="N2" s="67"/>
      <c r="O2" s="91"/>
      <c r="P2" s="67"/>
      <c r="Q2" s="67"/>
      <c r="R2" s="91"/>
      <c r="S2" s="67"/>
      <c r="T2" s="67"/>
      <c r="U2" s="67"/>
      <c r="V2" s="67"/>
    </row>
    <row r="4" spans="2:22" ht="17">
      <c r="B4" s="74" t="s">
        <v>366</v>
      </c>
      <c r="C4" s="68"/>
      <c r="D4" s="68"/>
      <c r="E4" s="68"/>
      <c r="F4" s="68"/>
      <c r="G4" s="68"/>
      <c r="H4" s="68"/>
      <c r="I4" s="68"/>
      <c r="J4" s="152"/>
      <c r="K4" s="68"/>
      <c r="L4" s="92"/>
      <c r="M4" s="68"/>
      <c r="N4" s="68"/>
      <c r="O4" s="92"/>
      <c r="P4" s="68"/>
      <c r="Q4" s="68"/>
      <c r="R4" s="92"/>
      <c r="S4" s="68"/>
      <c r="T4" s="68"/>
      <c r="U4" s="68"/>
      <c r="V4" s="68"/>
    </row>
    <row r="6" spans="2:22">
      <c r="B6" s="13" t="s">
        <v>367</v>
      </c>
      <c r="C6" s="8" t="s">
        <v>297</v>
      </c>
      <c r="D6" s="15" t="s">
        <v>368</v>
      </c>
      <c r="E6" s="15" t="s">
        <v>369</v>
      </c>
      <c r="F6" s="15" t="s">
        <v>370</v>
      </c>
      <c r="G6" s="15" t="s">
        <v>371</v>
      </c>
      <c r="H6" s="8" t="s">
        <v>293</v>
      </c>
      <c r="I6" s="8" t="s">
        <v>372</v>
      </c>
      <c r="J6" s="20" t="s">
        <v>373</v>
      </c>
      <c r="K6" s="8" t="s">
        <v>281</v>
      </c>
      <c r="L6" s="9" t="s">
        <v>282</v>
      </c>
      <c r="M6" s="8" t="s">
        <v>283</v>
      </c>
      <c r="N6" s="8" t="s">
        <v>284</v>
      </c>
      <c r="O6" s="9" t="s">
        <v>285</v>
      </c>
      <c r="P6" s="8" t="s">
        <v>286</v>
      </c>
      <c r="Q6" s="8" t="s">
        <v>287</v>
      </c>
      <c r="R6" s="2" t="s">
        <v>288</v>
      </c>
      <c r="S6" s="10" t="s">
        <v>289</v>
      </c>
      <c r="T6" s="82" t="s">
        <v>294</v>
      </c>
      <c r="U6" s="82" t="s">
        <v>374</v>
      </c>
      <c r="V6" s="82" t="s">
        <v>296</v>
      </c>
    </row>
    <row r="7" spans="2:22">
      <c r="B7" s="14" t="s">
        <v>375</v>
      </c>
      <c r="C7" s="14" t="s">
        <v>88</v>
      </c>
      <c r="D7" s="12">
        <v>677</v>
      </c>
      <c r="E7" s="32"/>
      <c r="F7" s="12"/>
      <c r="G7" s="12"/>
      <c r="I7" t="s">
        <v>376</v>
      </c>
      <c r="J7" s="34">
        <v>3</v>
      </c>
      <c r="K7" t="s">
        <v>377</v>
      </c>
      <c r="L7" s="86">
        <v>677</v>
      </c>
      <c r="M7" t="s">
        <v>378</v>
      </c>
    </row>
    <row r="8" spans="2:22">
      <c r="B8" s="14" t="s">
        <v>379</v>
      </c>
      <c r="C8" s="14" t="s">
        <v>88</v>
      </c>
      <c r="D8" s="12">
        <v>451</v>
      </c>
      <c r="E8" s="32"/>
      <c r="F8" s="12"/>
      <c r="G8" s="12"/>
      <c r="I8" t="s">
        <v>376</v>
      </c>
      <c r="J8" s="34">
        <v>3</v>
      </c>
      <c r="K8" t="s">
        <v>377</v>
      </c>
      <c r="L8" s="86">
        <v>451</v>
      </c>
      <c r="M8" t="s">
        <v>378</v>
      </c>
    </row>
    <row r="9" spans="2:22">
      <c r="B9" s="14" t="s">
        <v>380</v>
      </c>
      <c r="C9" s="14" t="s">
        <v>88</v>
      </c>
      <c r="D9" s="12">
        <v>535</v>
      </c>
      <c r="E9" s="32"/>
      <c r="F9" s="12"/>
      <c r="G9" s="12"/>
      <c r="I9" t="s">
        <v>376</v>
      </c>
      <c r="J9" s="34">
        <v>3</v>
      </c>
      <c r="K9" t="s">
        <v>377</v>
      </c>
      <c r="L9" s="86">
        <v>535</v>
      </c>
      <c r="M9" t="s">
        <v>378</v>
      </c>
    </row>
    <row r="10" spans="2:22">
      <c r="B10" s="14" t="s">
        <v>381</v>
      </c>
      <c r="C10" s="14" t="s">
        <v>88</v>
      </c>
      <c r="D10" s="156">
        <v>601</v>
      </c>
      <c r="E10" s="32"/>
      <c r="F10" s="156"/>
      <c r="G10" s="156"/>
      <c r="I10" t="s">
        <v>376</v>
      </c>
      <c r="J10" s="34">
        <v>3</v>
      </c>
      <c r="K10" t="s">
        <v>377</v>
      </c>
      <c r="L10" s="86">
        <v>601</v>
      </c>
      <c r="M10" t="s">
        <v>378</v>
      </c>
    </row>
    <row r="11" spans="2:22">
      <c r="B11" s="14" t="s">
        <v>382</v>
      </c>
      <c r="C11" s="14" t="s">
        <v>88</v>
      </c>
      <c r="D11" s="156">
        <v>448</v>
      </c>
      <c r="E11" s="32"/>
      <c r="F11" s="156"/>
      <c r="G11" s="156"/>
      <c r="I11" t="s">
        <v>376</v>
      </c>
      <c r="J11" s="34">
        <v>3</v>
      </c>
      <c r="K11" t="s">
        <v>377</v>
      </c>
      <c r="L11" s="86">
        <v>448</v>
      </c>
      <c r="M11" t="s">
        <v>378</v>
      </c>
    </row>
    <row r="12" spans="2:22">
      <c r="B12" s="14" t="s">
        <v>383</v>
      </c>
      <c r="C12" s="14" t="s">
        <v>88</v>
      </c>
      <c r="D12" s="156">
        <v>1135</v>
      </c>
      <c r="E12" s="32"/>
      <c r="F12" s="156"/>
      <c r="G12" s="156"/>
      <c r="I12" t="s">
        <v>376</v>
      </c>
      <c r="J12" s="34">
        <v>3</v>
      </c>
      <c r="K12" t="s">
        <v>377</v>
      </c>
      <c r="L12" s="86">
        <v>1135</v>
      </c>
      <c r="M12" t="s">
        <v>378</v>
      </c>
    </row>
    <row r="13" spans="2:22">
      <c r="B13" s="14" t="s">
        <v>384</v>
      </c>
      <c r="C13" s="14" t="s">
        <v>88</v>
      </c>
      <c r="D13" s="156">
        <v>464</v>
      </c>
      <c r="E13" s="32"/>
      <c r="F13" s="156"/>
      <c r="G13" s="156"/>
      <c r="I13" t="s">
        <v>376</v>
      </c>
      <c r="J13" s="34">
        <v>3</v>
      </c>
      <c r="K13" t="s">
        <v>377</v>
      </c>
      <c r="L13" s="86">
        <v>464</v>
      </c>
      <c r="M13" t="s">
        <v>378</v>
      </c>
    </row>
    <row r="14" spans="2:22">
      <c r="B14" s="14" t="s">
        <v>385</v>
      </c>
      <c r="C14" s="14" t="s">
        <v>88</v>
      </c>
      <c r="D14" s="156">
        <v>255</v>
      </c>
      <c r="E14" s="32"/>
      <c r="F14" s="156"/>
      <c r="G14" s="156"/>
      <c r="I14" t="s">
        <v>376</v>
      </c>
      <c r="J14" s="34">
        <v>3</v>
      </c>
      <c r="K14" t="s">
        <v>377</v>
      </c>
      <c r="L14" s="86">
        <v>255</v>
      </c>
      <c r="M14" t="s">
        <v>378</v>
      </c>
    </row>
    <row r="15" spans="2:22">
      <c r="B15" s="14" t="s">
        <v>386</v>
      </c>
      <c r="C15" s="14" t="s">
        <v>88</v>
      </c>
      <c r="D15" s="156">
        <v>714</v>
      </c>
      <c r="E15" s="32"/>
      <c r="F15" s="156"/>
      <c r="G15" s="156"/>
      <c r="I15" t="s">
        <v>376</v>
      </c>
      <c r="J15" s="34">
        <v>3</v>
      </c>
      <c r="K15" t="s">
        <v>377</v>
      </c>
      <c r="L15" s="86">
        <v>714</v>
      </c>
      <c r="M15" t="s">
        <v>378</v>
      </c>
    </row>
    <row r="16" spans="2:22">
      <c r="B16" s="14" t="s">
        <v>387</v>
      </c>
      <c r="C16" s="14" t="s">
        <v>88</v>
      </c>
      <c r="D16" s="156">
        <v>660</v>
      </c>
      <c r="E16" s="32"/>
      <c r="F16" s="156"/>
      <c r="G16" s="156"/>
      <c r="I16" t="s">
        <v>376</v>
      </c>
      <c r="J16" s="34">
        <v>3</v>
      </c>
      <c r="K16" t="s">
        <v>377</v>
      </c>
      <c r="L16" s="86">
        <v>660</v>
      </c>
      <c r="M16" t="s">
        <v>378</v>
      </c>
    </row>
    <row r="17" spans="2:22">
      <c r="B17" s="14" t="s">
        <v>388</v>
      </c>
      <c r="C17" s="14" t="s">
        <v>88</v>
      </c>
      <c r="D17" s="156">
        <v>377</v>
      </c>
      <c r="E17" s="32"/>
      <c r="F17" s="156"/>
      <c r="G17" s="156"/>
      <c r="I17" t="s">
        <v>376</v>
      </c>
      <c r="J17" s="34">
        <v>3</v>
      </c>
      <c r="K17" t="s">
        <v>377</v>
      </c>
      <c r="L17" s="86">
        <v>377</v>
      </c>
      <c r="M17" t="s">
        <v>378</v>
      </c>
    </row>
    <row r="18" spans="2:22">
      <c r="B18" s="14" t="s">
        <v>389</v>
      </c>
      <c r="C18" s="14" t="s">
        <v>88</v>
      </c>
      <c r="D18" s="156">
        <v>761</v>
      </c>
      <c r="E18" s="32"/>
      <c r="F18" s="156"/>
      <c r="G18" s="156"/>
      <c r="I18" t="s">
        <v>376</v>
      </c>
      <c r="J18" s="34">
        <v>3</v>
      </c>
      <c r="K18" t="s">
        <v>377</v>
      </c>
      <c r="L18" s="86">
        <v>761</v>
      </c>
      <c r="M18" t="s">
        <v>378</v>
      </c>
    </row>
    <row r="19" spans="2:22" s="14" customFormat="1">
      <c r="B19" s="14" t="s">
        <v>113</v>
      </c>
      <c r="C19" s="14" t="s">
        <v>88</v>
      </c>
      <c r="D19" s="156">
        <v>486</v>
      </c>
      <c r="E19" s="32"/>
      <c r="F19" s="156"/>
      <c r="G19" s="156"/>
      <c r="H19"/>
      <c r="I19" t="s">
        <v>376</v>
      </c>
      <c r="J19" s="34">
        <v>3</v>
      </c>
      <c r="K19" t="s">
        <v>377</v>
      </c>
      <c r="L19" s="86">
        <v>486</v>
      </c>
      <c r="M19" t="s">
        <v>378</v>
      </c>
      <c r="N19"/>
      <c r="O19" s="86"/>
      <c r="P19"/>
      <c r="Q19"/>
      <c r="R19" s="86"/>
      <c r="S19"/>
      <c r="T19"/>
      <c r="U19"/>
      <c r="V19"/>
    </row>
    <row r="20" spans="2:22">
      <c r="B20" s="14" t="s">
        <v>390</v>
      </c>
      <c r="C20" s="14" t="s">
        <v>88</v>
      </c>
      <c r="D20" s="156">
        <v>544</v>
      </c>
      <c r="E20" s="32"/>
      <c r="F20" s="156"/>
      <c r="G20" s="156"/>
      <c r="I20" t="s">
        <v>376</v>
      </c>
      <c r="J20" s="34">
        <v>3</v>
      </c>
      <c r="K20" t="s">
        <v>377</v>
      </c>
      <c r="L20" s="86">
        <v>544</v>
      </c>
      <c r="M20" t="s">
        <v>378</v>
      </c>
    </row>
    <row r="22" spans="2:22" s="14" customFormat="1">
      <c r="B22" s="7" t="s">
        <v>391</v>
      </c>
      <c r="C22" s="8" t="s">
        <v>297</v>
      </c>
      <c r="D22" s="8" t="s">
        <v>114</v>
      </c>
      <c r="E22" s="8" t="s">
        <v>129</v>
      </c>
      <c r="F22" s="8" t="s">
        <v>79</v>
      </c>
      <c r="G22" s="8" t="s">
        <v>126</v>
      </c>
      <c r="H22" s="8" t="s">
        <v>293</v>
      </c>
      <c r="I22" s="8" t="s">
        <v>372</v>
      </c>
      <c r="J22" s="20" t="s">
        <v>373</v>
      </c>
      <c r="K22" s="8" t="s">
        <v>281</v>
      </c>
      <c r="L22" s="9" t="s">
        <v>282</v>
      </c>
      <c r="M22" s="8" t="s">
        <v>283</v>
      </c>
      <c r="N22" s="8" t="s">
        <v>284</v>
      </c>
      <c r="O22" s="9" t="s">
        <v>285</v>
      </c>
      <c r="P22" s="8" t="s">
        <v>286</v>
      </c>
      <c r="Q22" s="8" t="s">
        <v>287</v>
      </c>
      <c r="R22" s="2" t="s">
        <v>288</v>
      </c>
      <c r="S22" s="10" t="s">
        <v>289</v>
      </c>
      <c r="T22" s="82" t="s">
        <v>294</v>
      </c>
      <c r="U22" s="82" t="s">
        <v>374</v>
      </c>
      <c r="V22" s="82" t="s">
        <v>296</v>
      </c>
    </row>
    <row r="23" spans="2:22">
      <c r="B23" s="87" t="s">
        <v>392</v>
      </c>
      <c r="C23" s="39" t="s">
        <v>116</v>
      </c>
      <c r="D23" s="88">
        <v>0</v>
      </c>
      <c r="E23" s="89">
        <v>80</v>
      </c>
      <c r="F23" s="89">
        <v>40</v>
      </c>
      <c r="G23" s="89">
        <v>20</v>
      </c>
      <c r="H23" t="s">
        <v>393</v>
      </c>
      <c r="I23" t="s">
        <v>309</v>
      </c>
      <c r="J23" s="34">
        <v>1</v>
      </c>
      <c r="K23" t="s">
        <v>394</v>
      </c>
      <c r="L23" s="86" t="s">
        <v>395</v>
      </c>
      <c r="M23" t="s">
        <v>396</v>
      </c>
      <c r="N23" t="s">
        <v>397</v>
      </c>
      <c r="O23" s="86" t="s">
        <v>395</v>
      </c>
      <c r="P23" t="s">
        <v>396</v>
      </c>
    </row>
    <row r="24" spans="2:22">
      <c r="B24" s="87" t="s">
        <v>398</v>
      </c>
      <c r="C24" s="39" t="s">
        <v>117</v>
      </c>
      <c r="D24" s="88">
        <v>0</v>
      </c>
      <c r="E24" s="90">
        <v>120</v>
      </c>
      <c r="F24" s="90">
        <v>95</v>
      </c>
      <c r="G24" s="90">
        <v>75</v>
      </c>
      <c r="H24" t="s">
        <v>399</v>
      </c>
      <c r="I24" t="s">
        <v>400</v>
      </c>
      <c r="J24" s="34">
        <v>2</v>
      </c>
      <c r="K24" t="s">
        <v>358</v>
      </c>
      <c r="L24" s="86" t="s">
        <v>401</v>
      </c>
      <c r="M24" t="s">
        <v>402</v>
      </c>
    </row>
    <row r="25" spans="2:22" s="14" customFormat="1">
      <c r="B25" s="14" t="s">
        <v>403</v>
      </c>
      <c r="C25" s="14" t="s">
        <v>88</v>
      </c>
      <c r="D25" s="26"/>
      <c r="E25" s="11"/>
      <c r="F25" s="11"/>
      <c r="G25" s="11"/>
      <c r="I25" s="14" t="s">
        <v>404</v>
      </c>
      <c r="J25" s="51" t="s">
        <v>405</v>
      </c>
      <c r="L25" s="93"/>
      <c r="O25" s="85"/>
      <c r="R25" s="85"/>
    </row>
    <row r="26" spans="2:22">
      <c r="B26" s="87" t="s">
        <v>406</v>
      </c>
      <c r="C26" s="39" t="s">
        <v>119</v>
      </c>
      <c r="D26" s="88">
        <v>0</v>
      </c>
      <c r="E26" s="151">
        <v>800</v>
      </c>
      <c r="F26" s="151">
        <v>400</v>
      </c>
      <c r="G26" s="151">
        <v>50</v>
      </c>
      <c r="H26" t="s">
        <v>407</v>
      </c>
      <c r="I26" t="s">
        <v>400</v>
      </c>
      <c r="J26" s="34">
        <v>2</v>
      </c>
      <c r="K26" t="s">
        <v>358</v>
      </c>
      <c r="L26" s="39" t="s">
        <v>408</v>
      </c>
      <c r="M26" t="s">
        <v>360</v>
      </c>
      <c r="N26" t="s">
        <v>358</v>
      </c>
      <c r="O26" s="164" t="s">
        <v>409</v>
      </c>
      <c r="P26" t="s">
        <v>360</v>
      </c>
    </row>
    <row r="27" spans="2:22">
      <c r="B27" s="87" t="s">
        <v>410</v>
      </c>
      <c r="C27" s="39" t="s">
        <v>120</v>
      </c>
      <c r="D27" s="88">
        <v>0</v>
      </c>
      <c r="E27" s="151">
        <v>5</v>
      </c>
      <c r="F27" s="151">
        <v>3</v>
      </c>
      <c r="G27" s="151">
        <v>2</v>
      </c>
      <c r="I27" t="s">
        <v>400</v>
      </c>
      <c r="J27" s="34">
        <v>2</v>
      </c>
      <c r="K27" t="s">
        <v>358</v>
      </c>
      <c r="L27" s="101" t="s">
        <v>411</v>
      </c>
      <c r="M27" t="s">
        <v>412</v>
      </c>
    </row>
    <row r="28" spans="2:22">
      <c r="B28" s="14" t="s">
        <v>413</v>
      </c>
      <c r="C28" s="14" t="s">
        <v>88</v>
      </c>
      <c r="D28" s="26"/>
      <c r="E28" s="11"/>
      <c r="F28" s="11"/>
      <c r="G28" s="11"/>
      <c r="H28" s="14"/>
      <c r="K28" s="14"/>
      <c r="L28" s="93"/>
      <c r="M28" s="14"/>
      <c r="N28" s="14"/>
      <c r="O28" s="93"/>
      <c r="P28" s="14"/>
      <c r="Q28" s="14"/>
      <c r="R28" s="93"/>
      <c r="S28" s="14"/>
      <c r="T28" s="14"/>
      <c r="U28" s="14"/>
      <c r="V28" s="14"/>
    </row>
    <row r="29" spans="2:22">
      <c r="B29" s="100" t="s">
        <v>414</v>
      </c>
      <c r="C29" s="199" t="s">
        <v>123</v>
      </c>
      <c r="D29" s="90">
        <v>0</v>
      </c>
      <c r="E29" s="90">
        <v>20</v>
      </c>
      <c r="F29" s="90">
        <v>10</v>
      </c>
      <c r="G29" s="90">
        <v>5</v>
      </c>
      <c r="H29" s="14" t="s">
        <v>415</v>
      </c>
      <c r="I29" t="s">
        <v>400</v>
      </c>
      <c r="J29" s="34">
        <v>2</v>
      </c>
      <c r="K29" t="s">
        <v>394</v>
      </c>
      <c r="L29" s="93" t="s">
        <v>416</v>
      </c>
      <c r="M29" t="s">
        <v>396</v>
      </c>
      <c r="N29" s="14"/>
      <c r="O29" s="93"/>
      <c r="P29" s="14"/>
      <c r="Q29" s="14"/>
      <c r="R29" s="93"/>
      <c r="S29" s="14"/>
      <c r="T29" s="14"/>
      <c r="U29" s="14"/>
      <c r="V29" s="14"/>
    </row>
    <row r="30" spans="2:22">
      <c r="B30" s="100" t="s">
        <v>417</v>
      </c>
      <c r="C30" s="39" t="s">
        <v>125</v>
      </c>
      <c r="D30" s="88">
        <v>0</v>
      </c>
      <c r="E30" s="90">
        <v>15</v>
      </c>
      <c r="F30" s="90">
        <v>10</v>
      </c>
      <c r="G30" s="90">
        <v>5</v>
      </c>
      <c r="H30" s="14"/>
      <c r="I30" t="s">
        <v>400</v>
      </c>
      <c r="J30" s="34">
        <v>2</v>
      </c>
      <c r="K30" t="s">
        <v>418</v>
      </c>
      <c r="L30" s="93" t="s">
        <v>419</v>
      </c>
      <c r="M30" t="s">
        <v>420</v>
      </c>
      <c r="N30" s="14"/>
      <c r="O30" s="93"/>
      <c r="P30" s="14"/>
      <c r="Q30" s="14"/>
      <c r="R30" s="93"/>
      <c r="S30" s="14"/>
      <c r="T30" s="14"/>
      <c r="U30" s="14"/>
      <c r="V30" s="14"/>
    </row>
    <row r="31" spans="2:22">
      <c r="B31" t="s">
        <v>421</v>
      </c>
      <c r="C31" t="s">
        <v>88</v>
      </c>
      <c r="D31" s="3"/>
      <c r="E31" s="12"/>
      <c r="F31" s="12"/>
      <c r="G31" s="3"/>
      <c r="I31" s="14" t="s">
        <v>404</v>
      </c>
      <c r="J31" s="51" t="s">
        <v>405</v>
      </c>
    </row>
    <row r="32" spans="2:22">
      <c r="B32" s="100" t="s">
        <v>422</v>
      </c>
      <c r="C32" s="199" t="s">
        <v>123</v>
      </c>
      <c r="D32" s="90">
        <v>0</v>
      </c>
      <c r="E32" s="90">
        <v>20</v>
      </c>
      <c r="F32" s="90">
        <v>10</v>
      </c>
      <c r="G32" s="90">
        <v>5</v>
      </c>
      <c r="H32" s="14" t="s">
        <v>415</v>
      </c>
      <c r="I32" t="s">
        <v>400</v>
      </c>
      <c r="J32" s="34">
        <v>2</v>
      </c>
      <c r="K32" t="s">
        <v>394</v>
      </c>
      <c r="L32" s="93" t="s">
        <v>416</v>
      </c>
      <c r="M32" t="s">
        <v>396</v>
      </c>
    </row>
    <row r="33" spans="1:22">
      <c r="B33" s="100" t="s">
        <v>423</v>
      </c>
      <c r="C33" s="39" t="s">
        <v>125</v>
      </c>
      <c r="D33" s="88">
        <v>0</v>
      </c>
      <c r="E33" s="90">
        <v>15</v>
      </c>
      <c r="F33" s="90">
        <v>10</v>
      </c>
      <c r="G33" s="90">
        <v>5</v>
      </c>
      <c r="H33" s="14"/>
      <c r="I33" t="s">
        <v>400</v>
      </c>
      <c r="J33" s="34">
        <v>2</v>
      </c>
      <c r="K33" t="s">
        <v>418</v>
      </c>
      <c r="L33" s="93" t="s">
        <v>419</v>
      </c>
      <c r="M33" t="s">
        <v>420</v>
      </c>
    </row>
    <row r="34" spans="1:22" s="14" customFormat="1">
      <c r="A34"/>
      <c r="B34" t="s">
        <v>424</v>
      </c>
      <c r="C34" t="s">
        <v>88</v>
      </c>
      <c r="D34" s="3"/>
      <c r="E34" s="12"/>
      <c r="F34" s="12"/>
      <c r="G34" s="3"/>
      <c r="H34"/>
      <c r="I34" s="14" t="s">
        <v>404</v>
      </c>
      <c r="J34" s="51" t="s">
        <v>405</v>
      </c>
      <c r="K34"/>
      <c r="L34" s="86"/>
      <c r="M34"/>
      <c r="N34"/>
      <c r="O34" s="86"/>
      <c r="P34"/>
      <c r="Q34"/>
      <c r="R34" s="86"/>
      <c r="S34"/>
      <c r="T34"/>
      <c r="U34"/>
      <c r="V34"/>
    </row>
    <row r="35" spans="1:22">
      <c r="B35" t="s">
        <v>425</v>
      </c>
      <c r="C35" t="s">
        <v>88</v>
      </c>
      <c r="D35" s="3">
        <v>0</v>
      </c>
      <c r="E35" s="12">
        <v>3400</v>
      </c>
      <c r="F35" s="12">
        <v>1700</v>
      </c>
      <c r="G35" s="12">
        <v>1500</v>
      </c>
      <c r="H35" t="s">
        <v>426</v>
      </c>
      <c r="I35" t="s">
        <v>400</v>
      </c>
      <c r="J35" s="34">
        <v>2</v>
      </c>
      <c r="K35" t="s">
        <v>394</v>
      </c>
      <c r="L35" s="86" t="s">
        <v>427</v>
      </c>
      <c r="M35" t="s">
        <v>396</v>
      </c>
      <c r="N35" t="s">
        <v>394</v>
      </c>
      <c r="O35" s="86" t="s">
        <v>428</v>
      </c>
      <c r="P35" t="s">
        <v>396</v>
      </c>
      <c r="Q35" t="s">
        <v>394</v>
      </c>
      <c r="R35" s="86" t="s">
        <v>429</v>
      </c>
      <c r="S35" t="s">
        <v>396</v>
      </c>
    </row>
    <row r="36" spans="1:22">
      <c r="B36" t="s">
        <v>430</v>
      </c>
      <c r="C36" t="s">
        <v>88</v>
      </c>
      <c r="D36" s="3">
        <v>0</v>
      </c>
      <c r="E36" s="12">
        <v>1000</v>
      </c>
      <c r="F36" s="12">
        <v>500</v>
      </c>
      <c r="G36" s="106">
        <v>250</v>
      </c>
      <c r="H36" t="s">
        <v>431</v>
      </c>
      <c r="I36" t="s">
        <v>400</v>
      </c>
      <c r="J36" s="34">
        <v>2</v>
      </c>
      <c r="K36" t="s">
        <v>358</v>
      </c>
      <c r="L36" s="86" t="s">
        <v>432</v>
      </c>
      <c r="M36" t="s">
        <v>412</v>
      </c>
    </row>
    <row r="37" spans="1:22">
      <c r="B37" t="s">
        <v>433</v>
      </c>
      <c r="C37" t="s">
        <v>88</v>
      </c>
      <c r="D37" s="3">
        <v>0</v>
      </c>
      <c r="E37" s="12">
        <v>1000</v>
      </c>
      <c r="F37" s="12">
        <v>500</v>
      </c>
      <c r="G37" s="106">
        <v>250</v>
      </c>
      <c r="H37" t="s">
        <v>434</v>
      </c>
      <c r="I37" t="s">
        <v>400</v>
      </c>
      <c r="J37" s="34">
        <v>2</v>
      </c>
      <c r="K37" t="s">
        <v>418</v>
      </c>
      <c r="L37" s="93" t="s">
        <v>435</v>
      </c>
      <c r="M37" t="s">
        <v>420</v>
      </c>
      <c r="N37" t="s">
        <v>397</v>
      </c>
      <c r="O37" s="86" t="s">
        <v>436</v>
      </c>
      <c r="P37" t="s">
        <v>396</v>
      </c>
    </row>
    <row r="38" spans="1:22">
      <c r="B38" t="s">
        <v>437</v>
      </c>
      <c r="C38" t="s">
        <v>88</v>
      </c>
      <c r="D38" s="3">
        <v>0</v>
      </c>
      <c r="E38" s="12">
        <v>5500</v>
      </c>
      <c r="F38" s="12">
        <v>250</v>
      </c>
      <c r="G38" s="106">
        <v>125</v>
      </c>
      <c r="H38" t="s">
        <v>438</v>
      </c>
      <c r="I38" t="s">
        <v>309</v>
      </c>
      <c r="J38" s="34">
        <v>1</v>
      </c>
      <c r="K38" t="s">
        <v>358</v>
      </c>
      <c r="L38" s="86" t="s">
        <v>439</v>
      </c>
      <c r="M38" t="s">
        <v>412</v>
      </c>
    </row>
    <row r="39" spans="1:22" s="14" customFormat="1">
      <c r="B39" t="s">
        <v>440</v>
      </c>
      <c r="C39" t="s">
        <v>88</v>
      </c>
      <c r="D39" s="3">
        <v>0</v>
      </c>
      <c r="E39" s="12">
        <v>300</v>
      </c>
      <c r="F39" s="12">
        <v>150</v>
      </c>
      <c r="G39" s="106">
        <v>75</v>
      </c>
      <c r="H39" t="s">
        <v>441</v>
      </c>
      <c r="I39" t="s">
        <v>309</v>
      </c>
      <c r="J39" s="34">
        <v>0</v>
      </c>
      <c r="K39" t="s">
        <v>394</v>
      </c>
      <c r="L39" s="86" t="s">
        <v>442</v>
      </c>
      <c r="M39" t="s">
        <v>396</v>
      </c>
      <c r="N39"/>
      <c r="O39" s="86"/>
      <c r="P39"/>
      <c r="Q39"/>
      <c r="R39" s="86"/>
      <c r="S39"/>
      <c r="T39"/>
      <c r="U39"/>
      <c r="V39"/>
    </row>
    <row r="40" spans="1:22">
      <c r="B40" s="19"/>
      <c r="C40" s="19"/>
      <c r="D40" s="19"/>
      <c r="E40" s="197">
        <f>E39*40</f>
        <v>12000</v>
      </c>
      <c r="F40" s="19"/>
      <c r="G40" s="19"/>
      <c r="H40" s="19"/>
      <c r="I40" s="19"/>
      <c r="J40" s="153"/>
      <c r="K40" s="19"/>
      <c r="L40" s="94"/>
      <c r="M40" s="19"/>
      <c r="N40" s="19"/>
      <c r="O40" s="94"/>
      <c r="P40" s="19"/>
      <c r="Q40" s="19"/>
      <c r="R40" s="94"/>
      <c r="S40" s="19"/>
      <c r="T40" s="1"/>
      <c r="U40" s="1"/>
      <c r="V40" s="1"/>
    </row>
    <row r="41" spans="1:22">
      <c r="B41" s="13" t="s">
        <v>443</v>
      </c>
      <c r="C41" s="19"/>
      <c r="D41" s="19"/>
      <c r="E41" s="197"/>
      <c r="F41" s="19"/>
      <c r="G41" s="19"/>
      <c r="H41" s="19"/>
      <c r="I41" s="19"/>
      <c r="J41" s="153"/>
      <c r="K41" s="19"/>
      <c r="L41" s="94"/>
      <c r="M41" s="19"/>
      <c r="N41" s="19"/>
      <c r="O41" s="94"/>
      <c r="P41" s="19"/>
      <c r="Q41" s="19"/>
      <c r="R41" s="94"/>
      <c r="S41" s="19"/>
      <c r="T41" s="1"/>
      <c r="U41" s="1"/>
      <c r="V41" s="1"/>
    </row>
    <row r="42" spans="1:22">
      <c r="B42" s="14" t="s">
        <v>130</v>
      </c>
      <c r="C42" s="19"/>
      <c r="D42" s="19"/>
      <c r="E42" s="197"/>
      <c r="F42" s="19"/>
      <c r="G42" s="19"/>
      <c r="H42" s="19"/>
      <c r="I42" s="19"/>
      <c r="J42" s="153"/>
      <c r="K42" s="19"/>
      <c r="L42" s="94"/>
      <c r="M42" s="19"/>
      <c r="N42" s="19"/>
      <c r="O42" s="94"/>
      <c r="P42" s="19"/>
      <c r="Q42" s="19"/>
      <c r="R42" s="94"/>
      <c r="S42" s="19"/>
      <c r="T42" s="1"/>
      <c r="U42" s="1"/>
      <c r="V42" s="1"/>
    </row>
    <row r="43" spans="1:22">
      <c r="B43" s="14" t="s">
        <v>215</v>
      </c>
      <c r="C43" s="19"/>
      <c r="D43" s="19"/>
      <c r="E43" s="197"/>
      <c r="F43" s="19"/>
      <c r="G43" s="19"/>
      <c r="H43" s="19"/>
      <c r="I43" s="19"/>
      <c r="J43" s="153"/>
      <c r="K43" s="19"/>
      <c r="L43" s="94"/>
      <c r="M43" s="19"/>
      <c r="N43" s="19"/>
      <c r="O43" s="94"/>
      <c r="P43" s="19"/>
      <c r="Q43" s="19"/>
      <c r="R43" s="94"/>
      <c r="S43" s="19"/>
      <c r="T43" s="1"/>
      <c r="U43" s="1"/>
      <c r="V43" s="1"/>
    </row>
    <row r="44" spans="1:22">
      <c r="B44" s="19"/>
      <c r="C44" s="19"/>
      <c r="D44" s="19"/>
      <c r="E44" s="197"/>
      <c r="F44" s="19"/>
      <c r="G44" s="19"/>
      <c r="H44" s="19"/>
      <c r="I44" s="19"/>
      <c r="J44" s="153"/>
      <c r="K44" s="19"/>
      <c r="L44" s="94"/>
      <c r="M44" s="19"/>
      <c r="N44" s="19"/>
      <c r="O44" s="94"/>
      <c r="P44" s="19"/>
      <c r="Q44" s="19"/>
      <c r="R44" s="94"/>
      <c r="S44" s="19"/>
      <c r="T44" s="1"/>
      <c r="U44" s="1"/>
      <c r="V44" s="1"/>
    </row>
    <row r="45" spans="1:22">
      <c r="B45" s="13" t="s">
        <v>444</v>
      </c>
      <c r="C45" s="8" t="s">
        <v>297</v>
      </c>
      <c r="D45" s="15" t="s">
        <v>114</v>
      </c>
      <c r="E45" s="15" t="s">
        <v>129</v>
      </c>
      <c r="F45" s="15" t="s">
        <v>79</v>
      </c>
      <c r="G45" s="15" t="s">
        <v>126</v>
      </c>
      <c r="H45" s="8" t="s">
        <v>293</v>
      </c>
      <c r="I45" s="8" t="s">
        <v>372</v>
      </c>
      <c r="J45" s="20" t="s">
        <v>373</v>
      </c>
      <c r="K45" s="8" t="s">
        <v>281</v>
      </c>
      <c r="L45" s="9" t="s">
        <v>282</v>
      </c>
      <c r="M45" s="8" t="s">
        <v>283</v>
      </c>
      <c r="N45" s="8" t="s">
        <v>284</v>
      </c>
      <c r="O45" s="9" t="s">
        <v>285</v>
      </c>
      <c r="P45" s="8" t="s">
        <v>286</v>
      </c>
      <c r="Q45" s="8" t="s">
        <v>287</v>
      </c>
      <c r="R45" s="2" t="s">
        <v>288</v>
      </c>
      <c r="S45" s="10" t="s">
        <v>289</v>
      </c>
      <c r="T45" s="82" t="s">
        <v>294</v>
      </c>
      <c r="U45" s="82" t="s">
        <v>374</v>
      </c>
      <c r="V45" s="82" t="s">
        <v>296</v>
      </c>
    </row>
    <row r="46" spans="1:22" s="14" customFormat="1">
      <c r="B46" s="14" t="s">
        <v>445</v>
      </c>
      <c r="C46" t="s">
        <v>88</v>
      </c>
      <c r="D46" s="16">
        <v>0</v>
      </c>
      <c r="E46" s="12">
        <v>750</v>
      </c>
      <c r="F46" s="12">
        <v>250</v>
      </c>
      <c r="G46" s="12">
        <v>65</v>
      </c>
      <c r="H46" t="s">
        <v>446</v>
      </c>
      <c r="I46" t="s">
        <v>400</v>
      </c>
      <c r="J46" s="34">
        <v>2</v>
      </c>
      <c r="K46" t="s">
        <v>418</v>
      </c>
      <c r="L46" s="86" t="s">
        <v>447</v>
      </c>
      <c r="M46" t="s">
        <v>420</v>
      </c>
      <c r="N46" t="s">
        <v>394</v>
      </c>
      <c r="O46" s="86" t="s">
        <v>448</v>
      </c>
      <c r="P46" t="s">
        <v>396</v>
      </c>
      <c r="Q46"/>
      <c r="R46" s="97"/>
      <c r="S46"/>
      <c r="T46"/>
      <c r="U46"/>
      <c r="V46"/>
    </row>
    <row r="47" spans="1:22" s="14" customFormat="1">
      <c r="B47" s="14" t="s">
        <v>449</v>
      </c>
      <c r="C47" t="s">
        <v>88</v>
      </c>
      <c r="D47" s="16">
        <v>0</v>
      </c>
      <c r="E47" s="12">
        <v>337</v>
      </c>
      <c r="F47" s="12">
        <v>200</v>
      </c>
      <c r="G47" s="12">
        <v>100</v>
      </c>
      <c r="H47" s="14" t="s">
        <v>450</v>
      </c>
      <c r="I47" s="14" t="s">
        <v>451</v>
      </c>
      <c r="J47" s="34">
        <v>2</v>
      </c>
      <c r="K47" t="s">
        <v>418</v>
      </c>
      <c r="L47" s="93" t="s">
        <v>452</v>
      </c>
      <c r="M47" t="s">
        <v>420</v>
      </c>
      <c r="N47"/>
      <c r="O47" s="86"/>
      <c r="P47"/>
      <c r="Q47"/>
      <c r="R47" s="86"/>
      <c r="S47"/>
      <c r="T47"/>
      <c r="U47"/>
      <c r="V47"/>
    </row>
    <row r="48" spans="1:22">
      <c r="B48" s="14" t="s">
        <v>453</v>
      </c>
      <c r="C48" t="s">
        <v>88</v>
      </c>
      <c r="D48" s="16">
        <v>0</v>
      </c>
      <c r="E48" s="12">
        <f>45*(E49/3)</f>
        <v>600</v>
      </c>
      <c r="F48" s="12">
        <f>45*(F49/3)</f>
        <v>450</v>
      </c>
      <c r="G48" s="12">
        <f>45*(G49/3)</f>
        <v>300</v>
      </c>
      <c r="H48" s="150" t="s">
        <v>454</v>
      </c>
      <c r="I48" t="s">
        <v>451</v>
      </c>
      <c r="J48" s="34">
        <v>2</v>
      </c>
      <c r="K48" t="s">
        <v>394</v>
      </c>
      <c r="L48" s="86" t="s">
        <v>454</v>
      </c>
      <c r="M48" t="s">
        <v>396</v>
      </c>
    </row>
    <row r="49" spans="2:22">
      <c r="B49" s="100" t="s">
        <v>455</v>
      </c>
      <c r="C49" s="39" t="s">
        <v>116</v>
      </c>
      <c r="D49" s="98">
        <v>0</v>
      </c>
      <c r="E49" s="99">
        <v>40</v>
      </c>
      <c r="F49" s="99">
        <v>30</v>
      </c>
      <c r="G49" s="99">
        <v>20</v>
      </c>
      <c r="H49" t="s">
        <v>456</v>
      </c>
      <c r="I49" t="s">
        <v>451</v>
      </c>
      <c r="J49" s="34">
        <v>2</v>
      </c>
      <c r="K49" t="s">
        <v>394</v>
      </c>
      <c r="L49" s="86" t="s">
        <v>457</v>
      </c>
      <c r="M49" t="s">
        <v>396</v>
      </c>
    </row>
    <row r="50" spans="2:22">
      <c r="B50" s="100" t="s">
        <v>458</v>
      </c>
      <c r="C50" s="39" t="s">
        <v>117</v>
      </c>
      <c r="D50" s="98">
        <v>0</v>
      </c>
      <c r="E50" s="99">
        <v>30</v>
      </c>
      <c r="F50" s="99">
        <v>25</v>
      </c>
      <c r="G50" s="99">
        <v>20</v>
      </c>
      <c r="I50" t="s">
        <v>376</v>
      </c>
      <c r="J50" s="34">
        <v>3</v>
      </c>
      <c r="K50" t="s">
        <v>394</v>
      </c>
      <c r="L50" s="86" t="s">
        <v>459</v>
      </c>
      <c r="M50" t="s">
        <v>396</v>
      </c>
    </row>
    <row r="51" spans="2:22">
      <c r="B51" s="14" t="s">
        <v>460</v>
      </c>
      <c r="C51" s="14" t="s">
        <v>88</v>
      </c>
      <c r="D51" s="16"/>
      <c r="E51" s="11"/>
      <c r="F51" s="11"/>
      <c r="G51" s="11"/>
      <c r="H51" s="14"/>
      <c r="I51" s="159" t="s">
        <v>404</v>
      </c>
      <c r="J51" s="51" t="s">
        <v>405</v>
      </c>
      <c r="K51" s="14"/>
      <c r="L51" s="93"/>
      <c r="M51" s="14"/>
      <c r="N51" s="14"/>
      <c r="O51" s="93"/>
      <c r="P51" s="14"/>
      <c r="Q51" s="14"/>
      <c r="R51" s="93"/>
      <c r="S51" s="14"/>
      <c r="T51" s="14"/>
      <c r="U51" s="14"/>
      <c r="V51" s="14"/>
    </row>
    <row r="52" spans="2:22">
      <c r="B52" s="14" t="s">
        <v>461</v>
      </c>
      <c r="C52" t="s">
        <v>88</v>
      </c>
      <c r="D52" s="16">
        <v>0</v>
      </c>
      <c r="E52" s="12">
        <f>1.25*F52</f>
        <v>166.25</v>
      </c>
      <c r="F52" s="12">
        <v>133</v>
      </c>
      <c r="G52" s="12">
        <f>0.75*F52</f>
        <v>99.75</v>
      </c>
      <c r="I52" t="s">
        <v>400</v>
      </c>
      <c r="J52" s="34">
        <v>2</v>
      </c>
      <c r="K52" t="s">
        <v>418</v>
      </c>
      <c r="L52" s="93" t="s">
        <v>462</v>
      </c>
      <c r="M52" t="s">
        <v>420</v>
      </c>
    </row>
    <row r="53" spans="2:22">
      <c r="B53" s="14"/>
      <c r="D53" s="200"/>
      <c r="E53" s="156"/>
      <c r="F53" s="156"/>
      <c r="G53" s="156"/>
      <c r="J53" s="34"/>
      <c r="R53" s="97"/>
    </row>
    <row r="54" spans="2:22" ht="17">
      <c r="B54" s="74" t="s">
        <v>463</v>
      </c>
      <c r="C54" s="68"/>
      <c r="D54" s="68"/>
      <c r="E54" s="68"/>
      <c r="F54" s="68"/>
      <c r="G54" s="68"/>
      <c r="H54" s="68"/>
      <c r="I54" s="68"/>
      <c r="J54" s="152"/>
      <c r="K54" s="68"/>
      <c r="L54" s="92"/>
      <c r="M54" s="68"/>
      <c r="N54" s="68"/>
      <c r="O54" s="92"/>
      <c r="P54" s="68"/>
      <c r="Q54" s="68"/>
      <c r="R54" s="92"/>
      <c r="S54" s="68"/>
      <c r="T54" s="68"/>
      <c r="U54" s="68"/>
      <c r="V54" s="68"/>
    </row>
    <row r="55" spans="2:22">
      <c r="B55" s="1"/>
    </row>
    <row r="56" spans="2:22">
      <c r="B56" s="17" t="s">
        <v>464</v>
      </c>
      <c r="C56" s="18" t="s">
        <v>297</v>
      </c>
      <c r="D56" s="19" t="s">
        <v>114</v>
      </c>
      <c r="E56" s="19" t="s">
        <v>129</v>
      </c>
      <c r="F56" s="19" t="s">
        <v>79</v>
      </c>
      <c r="G56" s="19" t="s">
        <v>126</v>
      </c>
      <c r="H56" s="19" t="s">
        <v>293</v>
      </c>
      <c r="I56" s="18" t="s">
        <v>372</v>
      </c>
      <c r="J56" s="20" t="s">
        <v>373</v>
      </c>
      <c r="K56" s="18" t="s">
        <v>281</v>
      </c>
      <c r="L56" s="20" t="s">
        <v>282</v>
      </c>
      <c r="M56" s="18" t="s">
        <v>283</v>
      </c>
      <c r="N56" s="18" t="s">
        <v>284</v>
      </c>
      <c r="O56" s="20" t="s">
        <v>285</v>
      </c>
      <c r="P56" s="18" t="s">
        <v>286</v>
      </c>
      <c r="Q56" s="18" t="s">
        <v>287</v>
      </c>
      <c r="R56" s="20" t="s">
        <v>288</v>
      </c>
      <c r="S56" s="21" t="s">
        <v>289</v>
      </c>
      <c r="T56" s="83" t="s">
        <v>294</v>
      </c>
      <c r="U56" s="83" t="s">
        <v>374</v>
      </c>
      <c r="V56" s="83" t="s">
        <v>296</v>
      </c>
    </row>
    <row r="57" spans="2:22">
      <c r="B57" s="14" t="s">
        <v>465</v>
      </c>
      <c r="C57" s="14" t="s">
        <v>88</v>
      </c>
      <c r="D57" s="26">
        <v>0</v>
      </c>
      <c r="E57" s="14">
        <v>337</v>
      </c>
      <c r="F57" s="14">
        <v>200</v>
      </c>
      <c r="G57" s="12">
        <v>100</v>
      </c>
      <c r="H57" s="14" t="s">
        <v>466</v>
      </c>
      <c r="I57" s="14" t="s">
        <v>451</v>
      </c>
      <c r="J57" s="34">
        <v>2</v>
      </c>
      <c r="K57" t="s">
        <v>418</v>
      </c>
      <c r="L57" s="93" t="s">
        <v>452</v>
      </c>
      <c r="M57" t="s">
        <v>420</v>
      </c>
      <c r="N57" s="14"/>
      <c r="O57" s="93"/>
      <c r="P57" s="14"/>
      <c r="Q57" s="14"/>
      <c r="R57" s="93"/>
      <c r="S57" s="14"/>
    </row>
    <row r="58" spans="2:22">
      <c r="B58" t="s">
        <v>467</v>
      </c>
      <c r="C58" s="14" t="s">
        <v>88</v>
      </c>
      <c r="D58" s="26">
        <v>0</v>
      </c>
      <c r="E58" s="14">
        <v>75</v>
      </c>
      <c r="F58" s="14">
        <v>50</v>
      </c>
      <c r="G58" s="12">
        <v>14</v>
      </c>
      <c r="H58" t="s">
        <v>468</v>
      </c>
      <c r="I58" s="14" t="s">
        <v>451</v>
      </c>
      <c r="J58" s="34">
        <v>2</v>
      </c>
      <c r="K58" t="s">
        <v>418</v>
      </c>
      <c r="L58" s="93" t="s">
        <v>469</v>
      </c>
      <c r="M58" t="s">
        <v>420</v>
      </c>
      <c r="T58" s="14"/>
      <c r="U58" s="14"/>
      <c r="V58" s="14"/>
    </row>
    <row r="59" spans="2:22">
      <c r="B59" s="87" t="s">
        <v>470</v>
      </c>
      <c r="C59" s="39" t="s">
        <v>116</v>
      </c>
      <c r="D59" s="151">
        <v>0</v>
      </c>
      <c r="E59" s="99">
        <v>10</v>
      </c>
      <c r="F59" s="99">
        <v>5</v>
      </c>
      <c r="G59" s="170">
        <v>2.5</v>
      </c>
      <c r="H59" t="s">
        <v>471</v>
      </c>
      <c r="I59" t="s">
        <v>309</v>
      </c>
      <c r="J59" s="34">
        <v>1</v>
      </c>
      <c r="K59" t="s">
        <v>394</v>
      </c>
      <c r="L59" s="86" t="s">
        <v>472</v>
      </c>
      <c r="M59" t="s">
        <v>396</v>
      </c>
    </row>
    <row r="60" spans="2:22">
      <c r="B60" s="87" t="s">
        <v>473</v>
      </c>
      <c r="C60" s="39" t="s">
        <v>117</v>
      </c>
      <c r="D60" s="98">
        <v>0</v>
      </c>
      <c r="E60" s="99">
        <v>30</v>
      </c>
      <c r="F60" s="99">
        <v>25</v>
      </c>
      <c r="G60" s="99">
        <v>20</v>
      </c>
      <c r="I60" t="s">
        <v>376</v>
      </c>
      <c r="J60" s="34">
        <v>3</v>
      </c>
      <c r="K60" t="s">
        <v>394</v>
      </c>
      <c r="L60" s="86" t="s">
        <v>459</v>
      </c>
      <c r="M60" t="s">
        <v>396</v>
      </c>
    </row>
    <row r="61" spans="2:22">
      <c r="B61" t="s">
        <v>474</v>
      </c>
      <c r="C61" s="14" t="s">
        <v>88</v>
      </c>
      <c r="D61" s="26">
        <v>0</v>
      </c>
      <c r="E61" s="12"/>
      <c r="F61" s="12"/>
      <c r="G61" s="12"/>
      <c r="I61" t="s">
        <v>404</v>
      </c>
      <c r="J61" s="34"/>
    </row>
    <row r="62" spans="2:22">
      <c r="B62" s="87" t="s">
        <v>475</v>
      </c>
      <c r="C62" s="39" t="s">
        <v>116</v>
      </c>
      <c r="D62" s="151">
        <v>0</v>
      </c>
      <c r="E62" s="170">
        <v>4</v>
      </c>
      <c r="F62" s="170">
        <f>8.8/4</f>
        <v>2.2000000000000002</v>
      </c>
      <c r="G62" s="170">
        <v>1</v>
      </c>
      <c r="H62" t="s">
        <v>476</v>
      </c>
      <c r="I62" t="s">
        <v>376</v>
      </c>
      <c r="J62" s="34">
        <v>3</v>
      </c>
      <c r="K62" t="s">
        <v>418</v>
      </c>
      <c r="L62" s="86" t="s">
        <v>477</v>
      </c>
      <c r="M62" t="s">
        <v>420</v>
      </c>
      <c r="N62" t="s">
        <v>394</v>
      </c>
      <c r="O62" s="39" t="s">
        <v>476</v>
      </c>
      <c r="P62" t="s">
        <v>396</v>
      </c>
    </row>
    <row r="63" spans="2:22">
      <c r="B63" s="87" t="s">
        <v>478</v>
      </c>
      <c r="C63" s="39" t="s">
        <v>117</v>
      </c>
      <c r="D63" s="98">
        <v>0</v>
      </c>
      <c r="E63" s="99">
        <v>30</v>
      </c>
      <c r="F63" s="99">
        <v>25</v>
      </c>
      <c r="G63" s="99">
        <v>20</v>
      </c>
      <c r="I63" t="s">
        <v>376</v>
      </c>
      <c r="J63" s="34">
        <v>3</v>
      </c>
      <c r="K63" t="s">
        <v>394</v>
      </c>
      <c r="L63" s="86" t="s">
        <v>459</v>
      </c>
      <c r="M63" t="s">
        <v>396</v>
      </c>
    </row>
    <row r="64" spans="2:22">
      <c r="B64" t="s">
        <v>479</v>
      </c>
      <c r="C64" s="14" t="s">
        <v>88</v>
      </c>
      <c r="D64" s="16"/>
      <c r="E64" s="11"/>
      <c r="F64" s="11"/>
      <c r="G64" s="11"/>
      <c r="I64" t="s">
        <v>404</v>
      </c>
      <c r="J64" s="34" t="s">
        <v>405</v>
      </c>
    </row>
    <row r="65" spans="1:22">
      <c r="B65" s="87" t="s">
        <v>480</v>
      </c>
      <c r="C65" s="39" t="s">
        <v>116</v>
      </c>
      <c r="D65" s="113">
        <v>0</v>
      </c>
      <c r="E65" s="151">
        <v>20</v>
      </c>
      <c r="F65" s="151">
        <v>10</v>
      </c>
      <c r="G65" s="151">
        <v>5</v>
      </c>
      <c r="H65" t="s">
        <v>481</v>
      </c>
      <c r="I65" t="s">
        <v>400</v>
      </c>
      <c r="J65" s="34">
        <v>2</v>
      </c>
      <c r="K65" t="s">
        <v>394</v>
      </c>
      <c r="L65" s="86" t="s">
        <v>482</v>
      </c>
      <c r="M65" t="s">
        <v>396</v>
      </c>
    </row>
    <row r="66" spans="1:22" s="14" customFormat="1">
      <c r="B66" s="87" t="s">
        <v>483</v>
      </c>
      <c r="C66" s="39" t="s">
        <v>117</v>
      </c>
      <c r="D66" s="113">
        <v>0</v>
      </c>
      <c r="E66" s="99">
        <v>30</v>
      </c>
      <c r="F66" s="99">
        <v>25</v>
      </c>
      <c r="G66" s="99">
        <v>20</v>
      </c>
      <c r="H66" s="150" t="s">
        <v>484</v>
      </c>
      <c r="I66" t="s">
        <v>376</v>
      </c>
      <c r="J66" s="34">
        <v>3</v>
      </c>
      <c r="K66" t="s">
        <v>394</v>
      </c>
      <c r="L66" s="86" t="s">
        <v>459</v>
      </c>
      <c r="M66" t="s">
        <v>396</v>
      </c>
      <c r="N66"/>
      <c r="O66" s="86"/>
      <c r="P66"/>
      <c r="Q66"/>
      <c r="R66" s="86"/>
      <c r="S66"/>
      <c r="T66"/>
      <c r="U66"/>
      <c r="V66"/>
    </row>
    <row r="67" spans="1:22">
      <c r="A67" s="14"/>
      <c r="B67" s="87" t="s">
        <v>485</v>
      </c>
      <c r="C67" s="39" t="s">
        <v>116</v>
      </c>
      <c r="D67" s="113">
        <v>0</v>
      </c>
      <c r="E67" s="151">
        <f>E65*10%</f>
        <v>2</v>
      </c>
      <c r="F67" s="151">
        <f>F65*10%</f>
        <v>1</v>
      </c>
      <c r="G67" s="196">
        <f>G65*10%</f>
        <v>0.5</v>
      </c>
      <c r="H67" t="s">
        <v>486</v>
      </c>
      <c r="I67" t="s">
        <v>400</v>
      </c>
      <c r="J67" s="34">
        <v>2</v>
      </c>
      <c r="K67" t="s">
        <v>394</v>
      </c>
      <c r="L67" s="86" t="s">
        <v>487</v>
      </c>
      <c r="M67" t="s">
        <v>396</v>
      </c>
    </row>
    <row r="68" spans="1:22">
      <c r="A68" s="14"/>
      <c r="B68" s="87" t="s">
        <v>488</v>
      </c>
      <c r="C68" s="39" t="s">
        <v>117</v>
      </c>
      <c r="D68" s="113">
        <v>0</v>
      </c>
      <c r="E68" s="151">
        <v>65</v>
      </c>
      <c r="F68" s="151">
        <v>60</v>
      </c>
      <c r="G68" s="151">
        <v>55</v>
      </c>
      <c r="H68" s="150" t="s">
        <v>489</v>
      </c>
      <c r="I68" t="s">
        <v>376</v>
      </c>
      <c r="J68" s="34">
        <v>3</v>
      </c>
      <c r="K68" t="s">
        <v>394</v>
      </c>
      <c r="L68" s="86" t="s">
        <v>490</v>
      </c>
      <c r="M68" t="s">
        <v>396</v>
      </c>
    </row>
    <row r="69" spans="1:22">
      <c r="A69" s="14"/>
      <c r="B69" t="s">
        <v>491</v>
      </c>
      <c r="C69" s="14" t="s">
        <v>88</v>
      </c>
      <c r="D69" s="26"/>
      <c r="E69" s="12"/>
      <c r="F69" s="12"/>
      <c r="G69" s="12"/>
      <c r="H69" t="s">
        <v>492</v>
      </c>
      <c r="I69" t="s">
        <v>404</v>
      </c>
      <c r="J69" s="34" t="s">
        <v>405</v>
      </c>
    </row>
    <row r="70" spans="1:22">
      <c r="B70" s="87" t="s">
        <v>493</v>
      </c>
      <c r="C70" s="39" t="s">
        <v>116</v>
      </c>
      <c r="D70" s="26">
        <v>0</v>
      </c>
      <c r="E70" s="151">
        <f>E65</f>
        <v>20</v>
      </c>
      <c r="F70" s="151">
        <f>F65</f>
        <v>10</v>
      </c>
      <c r="G70" s="151">
        <f>G65</f>
        <v>5</v>
      </c>
      <c r="I70" t="str">
        <f>I65</f>
        <v>Enige aanname</v>
      </c>
      <c r="J70" s="34">
        <f>J65</f>
        <v>2</v>
      </c>
      <c r="K70" t="str">
        <f>K65</f>
        <v>Veenweiden Innovatiecentrum, 2021</v>
      </c>
      <c r="L70" s="86" t="str">
        <f>L65</f>
        <v>Gem. per 5 hectare 1 uur p/wk</v>
      </c>
      <c r="M70" t="str">
        <f>M65</f>
        <v>Teeltproef</v>
      </c>
    </row>
    <row r="71" spans="1:22">
      <c r="B71" s="87" t="s">
        <v>494</v>
      </c>
      <c r="C71" s="39" t="s">
        <v>117</v>
      </c>
      <c r="D71" s="26">
        <v>0</v>
      </c>
      <c r="E71" s="99">
        <v>65</v>
      </c>
      <c r="F71" s="99">
        <v>55</v>
      </c>
      <c r="G71" s="99">
        <v>45</v>
      </c>
      <c r="I71" t="s">
        <v>400</v>
      </c>
      <c r="J71" s="34">
        <v>2</v>
      </c>
      <c r="K71" t="s">
        <v>358</v>
      </c>
      <c r="L71" s="86" t="s">
        <v>495</v>
      </c>
      <c r="M71" t="s">
        <v>402</v>
      </c>
    </row>
    <row r="72" spans="1:22">
      <c r="B72" t="s">
        <v>496</v>
      </c>
      <c r="C72" s="14" t="s">
        <v>88</v>
      </c>
      <c r="D72" s="26"/>
      <c r="E72" s="12"/>
      <c r="F72" s="12"/>
      <c r="G72" s="12"/>
      <c r="I72" t="s">
        <v>404</v>
      </c>
      <c r="J72" s="34" t="s">
        <v>405</v>
      </c>
    </row>
    <row r="74" spans="1:22" s="14" customFormat="1">
      <c r="B74" s="17" t="s">
        <v>497</v>
      </c>
      <c r="C74" s="19" t="s">
        <v>297</v>
      </c>
      <c r="D74" s="19" t="s">
        <v>114</v>
      </c>
      <c r="E74" s="19" t="s">
        <v>129</v>
      </c>
      <c r="F74" s="19" t="s">
        <v>79</v>
      </c>
      <c r="G74" s="19" t="s">
        <v>126</v>
      </c>
      <c r="H74" s="19" t="s">
        <v>293</v>
      </c>
      <c r="I74" s="18" t="s">
        <v>372</v>
      </c>
      <c r="J74" s="20" t="s">
        <v>373</v>
      </c>
      <c r="K74" s="18" t="s">
        <v>281</v>
      </c>
      <c r="L74" s="20" t="s">
        <v>282</v>
      </c>
      <c r="M74" s="18" t="s">
        <v>283</v>
      </c>
      <c r="N74" s="18" t="s">
        <v>284</v>
      </c>
      <c r="O74" s="20" t="s">
        <v>285</v>
      </c>
      <c r="P74" s="18" t="s">
        <v>286</v>
      </c>
      <c r="Q74" s="18" t="s">
        <v>287</v>
      </c>
      <c r="R74" s="20" t="s">
        <v>288</v>
      </c>
      <c r="S74" s="21" t="s">
        <v>289</v>
      </c>
      <c r="T74" s="83" t="s">
        <v>294</v>
      </c>
      <c r="U74" s="83" t="s">
        <v>374</v>
      </c>
      <c r="V74" s="83" t="s">
        <v>296</v>
      </c>
    </row>
    <row r="75" spans="1:22">
      <c r="B75" s="14" t="s">
        <v>498</v>
      </c>
      <c r="C75" s="14" t="s">
        <v>88</v>
      </c>
      <c r="D75" s="12">
        <v>0</v>
      </c>
      <c r="E75" s="14">
        <v>50</v>
      </c>
      <c r="F75" s="14">
        <v>25</v>
      </c>
      <c r="G75" s="14">
        <v>10</v>
      </c>
      <c r="H75" s="14"/>
      <c r="I75" s="14" t="s">
        <v>400</v>
      </c>
      <c r="J75" s="34">
        <v>2</v>
      </c>
      <c r="K75" t="s">
        <v>358</v>
      </c>
      <c r="L75" s="93" t="s">
        <v>499</v>
      </c>
      <c r="M75" t="s">
        <v>360</v>
      </c>
      <c r="N75" s="14"/>
      <c r="O75" s="93"/>
      <c r="P75" s="14"/>
      <c r="Q75" s="14"/>
      <c r="R75" s="93"/>
      <c r="S75" s="14"/>
      <c r="T75" s="14"/>
      <c r="U75" s="14"/>
      <c r="V75" s="14"/>
    </row>
    <row r="76" spans="1:22">
      <c r="B76" s="14" t="s">
        <v>500</v>
      </c>
      <c r="C76" s="14" t="s">
        <v>88</v>
      </c>
      <c r="D76" s="12">
        <v>0</v>
      </c>
      <c r="E76" s="14">
        <v>50</v>
      </c>
      <c r="F76" s="14">
        <v>25</v>
      </c>
      <c r="G76" s="14">
        <v>10</v>
      </c>
      <c r="I76" s="14" t="s">
        <v>400</v>
      </c>
      <c r="J76" s="34">
        <v>2</v>
      </c>
      <c r="K76" t="s">
        <v>358</v>
      </c>
      <c r="L76" s="93" t="s">
        <v>499</v>
      </c>
      <c r="M76" t="s">
        <v>360</v>
      </c>
    </row>
    <row r="77" spans="1:22">
      <c r="B77" s="14" t="s">
        <v>501</v>
      </c>
      <c r="C77" s="14" t="s">
        <v>88</v>
      </c>
      <c r="D77" s="12">
        <v>0</v>
      </c>
      <c r="E77" s="14">
        <v>75</v>
      </c>
      <c r="F77" s="14">
        <v>50</v>
      </c>
      <c r="G77" s="14">
        <v>10</v>
      </c>
      <c r="I77" s="14" t="s">
        <v>400</v>
      </c>
      <c r="J77" s="34">
        <v>2</v>
      </c>
      <c r="K77" t="s">
        <v>358</v>
      </c>
      <c r="L77" s="86" t="s">
        <v>502</v>
      </c>
      <c r="M77" t="s">
        <v>360</v>
      </c>
    </row>
    <row r="79" spans="1:22">
      <c r="B79" s="17" t="s">
        <v>503</v>
      </c>
      <c r="C79" s="19" t="s">
        <v>297</v>
      </c>
      <c r="D79" s="19" t="s">
        <v>114</v>
      </c>
      <c r="E79" s="19" t="s">
        <v>129</v>
      </c>
      <c r="F79" s="19" t="s">
        <v>79</v>
      </c>
      <c r="G79" s="19" t="s">
        <v>126</v>
      </c>
      <c r="H79" s="19" t="s">
        <v>293</v>
      </c>
      <c r="I79" s="18" t="s">
        <v>372</v>
      </c>
      <c r="J79" s="20" t="s">
        <v>373</v>
      </c>
      <c r="K79" s="18" t="s">
        <v>281</v>
      </c>
      <c r="L79" s="20" t="s">
        <v>282</v>
      </c>
      <c r="M79" s="18" t="s">
        <v>283</v>
      </c>
      <c r="N79" s="18" t="s">
        <v>284</v>
      </c>
      <c r="O79" s="20" t="s">
        <v>285</v>
      </c>
      <c r="P79" s="18" t="s">
        <v>286</v>
      </c>
      <c r="Q79" s="18" t="s">
        <v>287</v>
      </c>
      <c r="R79" s="20" t="s">
        <v>288</v>
      </c>
      <c r="S79" s="21" t="s">
        <v>289</v>
      </c>
      <c r="T79" s="83" t="s">
        <v>294</v>
      </c>
      <c r="U79" s="83" t="s">
        <v>374</v>
      </c>
      <c r="V79" s="83" t="s">
        <v>296</v>
      </c>
    </row>
    <row r="80" spans="1:22" s="14" customFormat="1">
      <c r="A80"/>
      <c r="B80" s="14" t="s">
        <v>504</v>
      </c>
      <c r="C80" s="14" t="s">
        <v>88</v>
      </c>
      <c r="D80" s="12">
        <v>0</v>
      </c>
      <c r="E80" s="24">
        <v>100</v>
      </c>
      <c r="F80" s="24">
        <v>73.400000000000006</v>
      </c>
      <c r="G80" s="24">
        <v>2.81</v>
      </c>
      <c r="I80" s="14" t="s">
        <v>400</v>
      </c>
      <c r="J80" s="34">
        <v>2</v>
      </c>
      <c r="K80" t="s">
        <v>418</v>
      </c>
      <c r="L80" s="93" t="s">
        <v>505</v>
      </c>
      <c r="M80" t="s">
        <v>420</v>
      </c>
      <c r="O80" s="93"/>
      <c r="R80" s="93"/>
      <c r="T80"/>
      <c r="U80"/>
      <c r="V80"/>
    </row>
    <row r="81" spans="2:22">
      <c r="B81" s="14" t="s">
        <v>506</v>
      </c>
      <c r="C81" s="14" t="s">
        <v>88</v>
      </c>
      <c r="D81" s="12">
        <v>0</v>
      </c>
      <c r="E81" s="12">
        <v>100</v>
      </c>
      <c r="F81" s="12">
        <v>75</v>
      </c>
      <c r="G81" s="12">
        <v>25</v>
      </c>
      <c r="I81" s="14" t="s">
        <v>400</v>
      </c>
      <c r="J81" s="34">
        <v>2</v>
      </c>
      <c r="K81" t="s">
        <v>358</v>
      </c>
      <c r="L81" s="86" t="s">
        <v>507</v>
      </c>
      <c r="M81" t="s">
        <v>360</v>
      </c>
    </row>
    <row r="83" spans="2:22">
      <c r="B83" s="17" t="s">
        <v>508</v>
      </c>
      <c r="C83" s="18" t="s">
        <v>297</v>
      </c>
      <c r="D83" s="19" t="s">
        <v>114</v>
      </c>
      <c r="E83" s="19" t="s">
        <v>129</v>
      </c>
      <c r="F83" s="19" t="s">
        <v>79</v>
      </c>
      <c r="G83" s="19" t="s">
        <v>126</v>
      </c>
      <c r="H83" s="18" t="s">
        <v>293</v>
      </c>
      <c r="I83" s="18" t="s">
        <v>372</v>
      </c>
      <c r="J83" s="20" t="s">
        <v>373</v>
      </c>
      <c r="K83" s="18" t="s">
        <v>281</v>
      </c>
      <c r="L83" s="20" t="s">
        <v>282</v>
      </c>
      <c r="M83" s="18" t="s">
        <v>283</v>
      </c>
      <c r="N83" s="18" t="s">
        <v>284</v>
      </c>
      <c r="O83" s="20" t="s">
        <v>285</v>
      </c>
      <c r="P83" s="18" t="s">
        <v>286</v>
      </c>
      <c r="Q83" s="18" t="s">
        <v>287</v>
      </c>
      <c r="R83" s="20" t="s">
        <v>288</v>
      </c>
      <c r="S83" s="21" t="s">
        <v>289</v>
      </c>
      <c r="T83" s="83" t="s">
        <v>294</v>
      </c>
      <c r="U83" s="83" t="s">
        <v>374</v>
      </c>
      <c r="V83" s="83" t="s">
        <v>296</v>
      </c>
    </row>
    <row r="84" spans="2:22">
      <c r="B84" s="14" t="str">
        <f>B25</f>
        <v>Grondverzet - totaal</v>
      </c>
      <c r="C84" s="14" t="s">
        <v>509</v>
      </c>
      <c r="D84" s="23">
        <v>0</v>
      </c>
      <c r="E84" s="23">
        <v>0.05</v>
      </c>
      <c r="F84" s="59">
        <v>2.5000000000000001E-2</v>
      </c>
      <c r="G84" s="23">
        <v>0.01</v>
      </c>
      <c r="H84" s="14"/>
      <c r="I84" s="14" t="s">
        <v>400</v>
      </c>
      <c r="J84" s="34">
        <v>2</v>
      </c>
      <c r="K84" t="s">
        <v>358</v>
      </c>
      <c r="L84" s="93" t="s">
        <v>510</v>
      </c>
      <c r="M84" t="s">
        <v>360</v>
      </c>
      <c r="N84" s="14"/>
      <c r="O84" s="93"/>
      <c r="P84" s="14"/>
      <c r="Q84" s="14"/>
      <c r="R84" s="93"/>
      <c r="S84" s="14"/>
    </row>
    <row r="85" spans="2:22">
      <c r="B85" s="14" t="str">
        <f>B31</f>
        <v>Watertoevoer - totaal</v>
      </c>
      <c r="C85" t="s">
        <v>509</v>
      </c>
      <c r="D85" s="4">
        <v>0</v>
      </c>
      <c r="E85" s="23">
        <v>0.1</v>
      </c>
      <c r="F85" s="23">
        <v>0.05</v>
      </c>
      <c r="G85" s="59">
        <v>2.5000000000000001E-2</v>
      </c>
      <c r="I85" s="14" t="s">
        <v>400</v>
      </c>
      <c r="J85" s="34">
        <v>2</v>
      </c>
      <c r="K85" t="s">
        <v>358</v>
      </c>
      <c r="L85" s="86" t="s">
        <v>511</v>
      </c>
      <c r="M85" t="s">
        <v>360</v>
      </c>
    </row>
    <row r="86" spans="2:22">
      <c r="B86" s="14" t="str">
        <f>B34</f>
        <v>Waterafvoer - totaal</v>
      </c>
      <c r="C86" t="s">
        <v>509</v>
      </c>
      <c r="D86" s="4">
        <v>0</v>
      </c>
      <c r="E86" s="23">
        <v>0.1</v>
      </c>
      <c r="F86" s="23">
        <v>0.05</v>
      </c>
      <c r="G86" s="59">
        <v>2.5000000000000001E-2</v>
      </c>
      <c r="I86" s="14" t="s">
        <v>400</v>
      </c>
      <c r="J86" s="34">
        <v>2</v>
      </c>
      <c r="K86" t="s">
        <v>358</v>
      </c>
      <c r="L86" s="86" t="s">
        <v>511</v>
      </c>
      <c r="M86" t="s">
        <v>360</v>
      </c>
    </row>
    <row r="87" spans="2:22">
      <c r="B87" s="14" t="str">
        <f>B35</f>
        <v>Pompen - aanschaf incl. stroomvoorziening</v>
      </c>
      <c r="C87" t="s">
        <v>509</v>
      </c>
      <c r="D87" s="4">
        <v>0</v>
      </c>
      <c r="E87" s="23">
        <v>0.15</v>
      </c>
      <c r="F87" s="23">
        <v>0.1</v>
      </c>
      <c r="G87" s="23">
        <v>0.05</v>
      </c>
      <c r="I87" s="14" t="s">
        <v>400</v>
      </c>
      <c r="J87" s="34">
        <v>2</v>
      </c>
      <c r="K87" t="s">
        <v>358</v>
      </c>
      <c r="L87" s="86" t="s">
        <v>512</v>
      </c>
      <c r="M87" t="s">
        <v>360</v>
      </c>
    </row>
    <row r="88" spans="2:22">
      <c r="B88" s="14" t="str">
        <f>B36</f>
        <v>Waterpeilbeheersing (schuiven, slibkisten, etc.)</v>
      </c>
      <c r="C88" t="s">
        <v>509</v>
      </c>
      <c r="D88" s="4">
        <v>0</v>
      </c>
      <c r="E88" s="23">
        <v>0.1</v>
      </c>
      <c r="F88" s="23">
        <v>0.05</v>
      </c>
      <c r="G88" s="59">
        <v>2.5000000000000001E-2</v>
      </c>
      <c r="I88" s="14" t="s">
        <v>400</v>
      </c>
      <c r="J88" s="34">
        <v>2</v>
      </c>
      <c r="K88" t="s">
        <v>358</v>
      </c>
      <c r="L88" s="86" t="s">
        <v>511</v>
      </c>
      <c r="M88" t="s">
        <v>360</v>
      </c>
    </row>
    <row r="89" spans="2:22">
      <c r="B89" s="14" t="str">
        <f>B37</f>
        <v>Afrastering &amp; vraatbescherming</v>
      </c>
      <c r="C89" t="s">
        <v>509</v>
      </c>
      <c r="D89" s="4">
        <v>0</v>
      </c>
      <c r="E89" s="23">
        <v>0.1</v>
      </c>
      <c r="F89" s="23">
        <v>0.05</v>
      </c>
      <c r="G89" s="59">
        <v>2.5000000000000001E-2</v>
      </c>
      <c r="I89" s="14" t="s">
        <v>400</v>
      </c>
      <c r="J89" s="34">
        <v>2</v>
      </c>
      <c r="K89" t="s">
        <v>358</v>
      </c>
      <c r="L89" s="86" t="s">
        <v>511</v>
      </c>
      <c r="M89" t="s">
        <v>360</v>
      </c>
    </row>
    <row r="90" spans="2:22">
      <c r="B90" s="14" t="str">
        <f>B38</f>
        <v>Overige kosten (bijv. folie)</v>
      </c>
      <c r="C90" t="s">
        <v>509</v>
      </c>
      <c r="D90" s="4">
        <v>0</v>
      </c>
      <c r="E90" s="23">
        <v>0.1</v>
      </c>
      <c r="F90" s="23">
        <v>0.05</v>
      </c>
      <c r="G90" s="59">
        <v>2.5000000000000001E-2</v>
      </c>
      <c r="I90" s="14" t="s">
        <v>400</v>
      </c>
      <c r="J90" s="34">
        <v>2</v>
      </c>
      <c r="K90" t="s">
        <v>358</v>
      </c>
      <c r="L90" s="86" t="s">
        <v>511</v>
      </c>
      <c r="M90" t="s">
        <v>360</v>
      </c>
    </row>
    <row r="91" spans="2:22" s="14" customFormat="1">
      <c r="B91"/>
      <c r="C91"/>
      <c r="D91"/>
      <c r="E91"/>
      <c r="F91"/>
      <c r="G91"/>
      <c r="H91"/>
      <c r="I91"/>
      <c r="J91" s="35"/>
      <c r="K91"/>
      <c r="L91" s="86"/>
      <c r="M91"/>
      <c r="N91"/>
      <c r="O91" s="86"/>
      <c r="P91"/>
      <c r="Q91"/>
      <c r="R91" s="86"/>
      <c r="S91"/>
      <c r="T91"/>
      <c r="U91"/>
      <c r="V91"/>
    </row>
    <row r="92" spans="2:22">
      <c r="B92" s="17" t="s">
        <v>513</v>
      </c>
      <c r="C92" s="18" t="s">
        <v>297</v>
      </c>
      <c r="D92" s="19" t="s">
        <v>114</v>
      </c>
      <c r="E92" s="19" t="s">
        <v>129</v>
      </c>
      <c r="F92" s="19" t="s">
        <v>79</v>
      </c>
      <c r="G92" s="19" t="s">
        <v>126</v>
      </c>
      <c r="H92" s="18" t="s">
        <v>293</v>
      </c>
      <c r="I92" s="18" t="s">
        <v>372</v>
      </c>
      <c r="J92" s="20" t="s">
        <v>373</v>
      </c>
      <c r="K92" s="18" t="s">
        <v>281</v>
      </c>
      <c r="L92" s="20" t="s">
        <v>282</v>
      </c>
      <c r="M92" s="18" t="s">
        <v>283</v>
      </c>
      <c r="N92" s="18" t="s">
        <v>284</v>
      </c>
      <c r="O92" s="20" t="s">
        <v>285</v>
      </c>
      <c r="P92" s="18" t="s">
        <v>286</v>
      </c>
      <c r="Q92" s="18" t="s">
        <v>287</v>
      </c>
      <c r="R92" s="20" t="s">
        <v>288</v>
      </c>
      <c r="S92" s="21" t="s">
        <v>289</v>
      </c>
      <c r="T92" s="83" t="s">
        <v>294</v>
      </c>
      <c r="U92" s="83" t="s">
        <v>374</v>
      </c>
      <c r="V92" s="83" t="s">
        <v>296</v>
      </c>
    </row>
    <row r="93" spans="2:22">
      <c r="B93" t="s">
        <v>514</v>
      </c>
      <c r="C93" t="s">
        <v>190</v>
      </c>
      <c r="D93" s="4">
        <v>0</v>
      </c>
      <c r="E93" s="158">
        <v>0.08</v>
      </c>
      <c r="F93" s="158">
        <v>0.05</v>
      </c>
      <c r="G93" s="158">
        <v>0.02</v>
      </c>
      <c r="I93" s="14" t="s">
        <v>400</v>
      </c>
      <c r="J93" s="34">
        <v>2</v>
      </c>
      <c r="K93" t="s">
        <v>394</v>
      </c>
      <c r="L93" s="93" t="s">
        <v>515</v>
      </c>
      <c r="M93" t="s">
        <v>396</v>
      </c>
      <c r="N93" t="s">
        <v>358</v>
      </c>
      <c r="O93" s="93" t="s">
        <v>515</v>
      </c>
      <c r="P93" t="s">
        <v>360</v>
      </c>
    </row>
    <row r="94" spans="2:22">
      <c r="B94" t="s">
        <v>516</v>
      </c>
      <c r="C94" t="s">
        <v>135</v>
      </c>
      <c r="D94" s="3">
        <v>0</v>
      </c>
      <c r="E94" s="3">
        <v>30</v>
      </c>
      <c r="F94" s="3">
        <v>20</v>
      </c>
      <c r="G94" s="3">
        <v>10</v>
      </c>
      <c r="I94" s="14" t="s">
        <v>400</v>
      </c>
      <c r="J94" s="34">
        <v>2</v>
      </c>
      <c r="K94" t="s">
        <v>358</v>
      </c>
      <c r="L94" s="86" t="s">
        <v>517</v>
      </c>
      <c r="M94" t="s">
        <v>360</v>
      </c>
      <c r="T94" s="14"/>
      <c r="U94" s="14"/>
      <c r="V94" s="14"/>
    </row>
    <row r="95" spans="2:22">
      <c r="B95" t="s">
        <v>518</v>
      </c>
      <c r="C95" t="s">
        <v>519</v>
      </c>
      <c r="D95" s="3"/>
      <c r="E95" s="3"/>
      <c r="F95" s="3"/>
      <c r="G95" s="3"/>
      <c r="I95" t="s">
        <v>404</v>
      </c>
      <c r="J95" s="34" t="s">
        <v>405</v>
      </c>
      <c r="T95" s="14"/>
      <c r="U95" s="14"/>
      <c r="V95" s="14"/>
    </row>
    <row r="96" spans="2:22">
      <c r="B96" t="s">
        <v>520</v>
      </c>
      <c r="C96" t="s">
        <v>135</v>
      </c>
      <c r="D96" s="3">
        <v>0</v>
      </c>
      <c r="E96" s="3">
        <v>20</v>
      </c>
      <c r="F96" s="3">
        <v>10</v>
      </c>
      <c r="G96" s="3">
        <v>5</v>
      </c>
      <c r="I96" t="s">
        <v>451</v>
      </c>
      <c r="J96" s="34">
        <v>2</v>
      </c>
      <c r="K96" t="s">
        <v>394</v>
      </c>
      <c r="L96" s="101" t="s">
        <v>521</v>
      </c>
      <c r="M96" t="s">
        <v>396</v>
      </c>
    </row>
    <row r="97" spans="2:30">
      <c r="B97" t="s">
        <v>522</v>
      </c>
      <c r="C97" t="s">
        <v>519</v>
      </c>
      <c r="D97" s="3"/>
      <c r="E97" s="3"/>
      <c r="F97" s="3"/>
      <c r="G97" s="3"/>
      <c r="I97" t="s">
        <v>404</v>
      </c>
      <c r="J97" s="34" t="s">
        <v>405</v>
      </c>
    </row>
    <row r="99" spans="2:30">
      <c r="B99" s="320" t="s">
        <v>523</v>
      </c>
      <c r="C99" s="321" t="s">
        <v>297</v>
      </c>
      <c r="D99" s="322" t="s">
        <v>524</v>
      </c>
      <c r="E99" s="322"/>
      <c r="F99" s="322"/>
      <c r="G99" s="322"/>
      <c r="H99" s="321" t="s">
        <v>293</v>
      </c>
      <c r="I99" s="321" t="s">
        <v>372</v>
      </c>
      <c r="J99" s="326" t="s">
        <v>373</v>
      </c>
      <c r="K99" s="321" t="s">
        <v>281</v>
      </c>
      <c r="L99" s="326" t="s">
        <v>282</v>
      </c>
      <c r="M99" s="321" t="s">
        <v>283</v>
      </c>
      <c r="N99" s="321" t="s">
        <v>284</v>
      </c>
      <c r="O99" s="326" t="s">
        <v>285</v>
      </c>
      <c r="P99" s="321" t="s">
        <v>286</v>
      </c>
      <c r="Q99" s="321" t="s">
        <v>287</v>
      </c>
      <c r="R99" s="326" t="s">
        <v>288</v>
      </c>
      <c r="S99" s="327" t="s">
        <v>289</v>
      </c>
      <c r="T99" s="328" t="s">
        <v>294</v>
      </c>
      <c r="U99" s="328" t="s">
        <v>374</v>
      </c>
      <c r="V99" s="329" t="s">
        <v>296</v>
      </c>
    </row>
    <row r="100" spans="2:30">
      <c r="B100" s="319" t="s">
        <v>525</v>
      </c>
      <c r="C100" s="316" t="s">
        <v>526</v>
      </c>
      <c r="D100" s="324">
        <v>262</v>
      </c>
      <c r="E100" s="324"/>
      <c r="F100" s="323"/>
      <c r="G100" s="323"/>
      <c r="H100" s="316"/>
      <c r="I100" s="330" t="s">
        <v>376</v>
      </c>
      <c r="J100" s="331">
        <v>3</v>
      </c>
      <c r="K100" s="316" t="s">
        <v>527</v>
      </c>
      <c r="L100" s="332">
        <v>262</v>
      </c>
      <c r="M100" s="339" t="s">
        <v>528</v>
      </c>
      <c r="N100" s="316"/>
      <c r="O100" s="332"/>
      <c r="P100" s="316"/>
      <c r="Q100" s="316"/>
      <c r="R100" s="333"/>
      <c r="S100" s="316"/>
      <c r="T100" s="316"/>
      <c r="U100" s="316"/>
      <c r="V100" s="325"/>
    </row>
    <row r="101" spans="2:30">
      <c r="B101" s="317" t="s">
        <v>529</v>
      </c>
      <c r="C101" s="317" t="s">
        <v>526</v>
      </c>
      <c r="D101" s="317">
        <v>117</v>
      </c>
      <c r="E101" s="334"/>
      <c r="F101" s="334"/>
      <c r="G101" s="334"/>
      <c r="H101" s="318"/>
      <c r="I101" s="318" t="s">
        <v>376</v>
      </c>
      <c r="J101" s="336">
        <v>3</v>
      </c>
      <c r="K101" s="318" t="s">
        <v>527</v>
      </c>
      <c r="L101" s="337">
        <v>117</v>
      </c>
      <c r="M101" s="318" t="s">
        <v>528</v>
      </c>
      <c r="N101" s="318"/>
      <c r="O101" s="337"/>
      <c r="P101" s="318"/>
      <c r="Q101" s="318"/>
      <c r="R101" s="337"/>
      <c r="S101" s="318"/>
      <c r="T101" s="335"/>
      <c r="U101" s="335"/>
      <c r="V101" s="338"/>
    </row>
    <row r="103" spans="2:30" ht="17">
      <c r="B103" s="74" t="s">
        <v>530</v>
      </c>
      <c r="C103" s="68"/>
      <c r="D103" s="68"/>
      <c r="E103" s="68"/>
      <c r="F103" s="68"/>
      <c r="G103" s="68"/>
      <c r="H103" s="68"/>
      <c r="I103" s="68"/>
      <c r="J103" s="152"/>
      <c r="K103" s="68"/>
      <c r="L103" s="92"/>
      <c r="M103" s="68"/>
      <c r="N103" s="68"/>
      <c r="O103" s="92"/>
      <c r="P103" s="68"/>
      <c r="Q103" s="68"/>
      <c r="R103" s="92"/>
      <c r="S103" s="68"/>
      <c r="T103" s="68"/>
      <c r="U103" s="68"/>
      <c r="V103" s="68"/>
    </row>
    <row r="105" spans="2:30">
      <c r="B105" s="211" t="s">
        <v>133</v>
      </c>
      <c r="C105" s="22" t="s">
        <v>297</v>
      </c>
      <c r="D105" s="22" t="s">
        <v>114</v>
      </c>
      <c r="E105" s="22" t="s">
        <v>129</v>
      </c>
      <c r="F105" s="22" t="s">
        <v>79</v>
      </c>
      <c r="G105" s="22" t="s">
        <v>126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Z105" s="86"/>
    </row>
    <row r="106" spans="2:30" s="14" customFormat="1">
      <c r="B106" t="str">
        <f>Gewas0[[#Headers],[Grote lisdodde]]</f>
        <v>Grote lisdodde</v>
      </c>
      <c r="C106" s="210" t="s">
        <v>88</v>
      </c>
      <c r="D106" s="155">
        <f>D189</f>
        <v>0</v>
      </c>
      <c r="E106" s="155">
        <f t="shared" ref="E106:G106" si="0">E189</f>
        <v>325</v>
      </c>
      <c r="F106" s="155">
        <f t="shared" si="0"/>
        <v>300</v>
      </c>
      <c r="G106" s="155">
        <f t="shared" si="0"/>
        <v>275</v>
      </c>
      <c r="H106" s="210"/>
      <c r="I106" s="210"/>
      <c r="J106" s="210"/>
      <c r="K106"/>
      <c r="L106"/>
      <c r="M106" s="210"/>
      <c r="N106" s="210"/>
      <c r="O106" s="210"/>
      <c r="P106" s="210"/>
      <c r="Q106" s="210"/>
      <c r="R106" s="210"/>
      <c r="S106" s="210"/>
      <c r="T106" s="210"/>
      <c r="U106"/>
      <c r="V106"/>
      <c r="W106" s="86"/>
      <c r="X106"/>
      <c r="Y106"/>
      <c r="Z106" s="86"/>
      <c r="AA106"/>
      <c r="AB106"/>
      <c r="AC106"/>
      <c r="AD106"/>
    </row>
    <row r="107" spans="2:30">
      <c r="B107" t="str">
        <f>Gewas059[[#Headers],[Kleine lisdodde]]</f>
        <v>Kleine lisdodde</v>
      </c>
      <c r="C107" s="210" t="s">
        <v>88</v>
      </c>
      <c r="D107" s="155">
        <f>D203</f>
        <v>0</v>
      </c>
      <c r="E107" s="155">
        <f t="shared" ref="E107:G107" si="1">E203</f>
        <v>325</v>
      </c>
      <c r="F107" s="155">
        <f t="shared" si="1"/>
        <v>300</v>
      </c>
      <c r="G107" s="155">
        <f t="shared" si="1"/>
        <v>275</v>
      </c>
      <c r="H107" s="210"/>
      <c r="I107" s="210"/>
      <c r="J107" s="210"/>
      <c r="L107"/>
      <c r="M107" s="210"/>
      <c r="N107" s="210"/>
      <c r="O107" s="210"/>
      <c r="P107" s="210"/>
      <c r="Q107" s="210"/>
      <c r="R107" s="210"/>
      <c r="S107" s="210"/>
      <c r="T107" s="210"/>
      <c r="W107" s="86"/>
      <c r="Z107" s="86"/>
    </row>
    <row r="108" spans="2:30">
      <c r="B108" t="str">
        <f>Gewas05960[[#Headers],[Hennep]]</f>
        <v>Hennep</v>
      </c>
      <c r="C108" s="210" t="s">
        <v>88</v>
      </c>
      <c r="D108" s="155">
        <f>D217</f>
        <v>0</v>
      </c>
      <c r="E108" s="155">
        <f t="shared" ref="E108:G108" si="2">E217</f>
        <v>135</v>
      </c>
      <c r="F108" s="155">
        <f t="shared" si="2"/>
        <v>130</v>
      </c>
      <c r="G108" s="155">
        <f t="shared" si="2"/>
        <v>125</v>
      </c>
      <c r="H108" s="210"/>
      <c r="I108" s="210"/>
      <c r="J108" s="210"/>
      <c r="L108"/>
      <c r="M108" s="210"/>
      <c r="N108" s="210"/>
      <c r="O108" s="210"/>
      <c r="P108" s="210"/>
      <c r="Q108" s="210"/>
      <c r="R108" s="210"/>
      <c r="S108" s="210"/>
      <c r="T108" s="210"/>
      <c r="W108" s="86"/>
      <c r="Z108" s="86"/>
    </row>
    <row r="109" spans="2:30">
      <c r="B109" t="str">
        <f>Gewas0596061[[#Headers],[Riet]]</f>
        <v>Riet</v>
      </c>
      <c r="C109" s="210" t="s">
        <v>88</v>
      </c>
      <c r="D109" s="155">
        <f>D231</f>
        <v>0</v>
      </c>
      <c r="E109" s="155">
        <f t="shared" ref="E109:G109" si="3">E231</f>
        <v>0</v>
      </c>
      <c r="F109" s="155">
        <f t="shared" si="3"/>
        <v>0</v>
      </c>
      <c r="G109" s="155">
        <f t="shared" si="3"/>
        <v>0</v>
      </c>
      <c r="H109" s="210"/>
      <c r="I109" s="210"/>
      <c r="J109" s="210"/>
      <c r="L109"/>
      <c r="M109" s="210"/>
      <c r="N109" s="210"/>
      <c r="O109" s="210"/>
      <c r="P109" s="210"/>
      <c r="Q109" s="210"/>
      <c r="R109" s="210"/>
      <c r="S109" s="210"/>
      <c r="T109" s="210"/>
      <c r="W109" s="86"/>
      <c r="Z109" s="86"/>
    </row>
    <row r="110" spans="2:30">
      <c r="B110" t="str">
        <f>Gewas059606162[[#Headers],[Silphie]]</f>
        <v>Silphie</v>
      </c>
      <c r="C110" s="210" t="s">
        <v>88</v>
      </c>
      <c r="D110" s="155">
        <f>D245</f>
        <v>0</v>
      </c>
      <c r="E110" s="155">
        <f t="shared" ref="E110:G110" si="4">E245</f>
        <v>1950</v>
      </c>
      <c r="F110" s="155">
        <f t="shared" si="4"/>
        <v>1830</v>
      </c>
      <c r="G110" s="155">
        <f t="shared" si="4"/>
        <v>1750</v>
      </c>
      <c r="H110" s="210"/>
      <c r="I110" s="210"/>
      <c r="J110" s="210"/>
      <c r="L110"/>
      <c r="M110" s="210"/>
      <c r="N110" s="210"/>
      <c r="O110" s="210"/>
      <c r="P110" s="210"/>
      <c r="Q110" s="210"/>
      <c r="R110" s="210"/>
      <c r="S110" s="210"/>
      <c r="T110" s="210"/>
      <c r="W110" s="86"/>
      <c r="Z110" s="86"/>
    </row>
    <row r="111" spans="2:30">
      <c r="B111" t="str">
        <f>Gewas05960616263[[#Headers],[Miscanthus]]</f>
        <v>Miscanthus</v>
      </c>
      <c r="C111" s="210" t="s">
        <v>88</v>
      </c>
      <c r="D111" s="155">
        <f>D259</f>
        <v>0</v>
      </c>
      <c r="E111" s="155">
        <f t="shared" ref="E111:G111" si="5">E259</f>
        <v>0</v>
      </c>
      <c r="F111" s="155">
        <f t="shared" si="5"/>
        <v>0</v>
      </c>
      <c r="G111" s="155">
        <f t="shared" si="5"/>
        <v>0</v>
      </c>
      <c r="H111" s="210"/>
      <c r="I111" s="210"/>
      <c r="J111" s="210"/>
      <c r="L111"/>
      <c r="M111" s="210"/>
      <c r="N111" s="210"/>
      <c r="O111" s="210"/>
      <c r="P111" s="210"/>
      <c r="Q111" s="210"/>
      <c r="R111" s="210"/>
      <c r="S111" s="210"/>
      <c r="T111" s="210"/>
      <c r="W111" s="86"/>
      <c r="Z111" s="86"/>
    </row>
    <row r="112" spans="2:30">
      <c r="B112" t="str">
        <f>Gewas0596061626364[[#Headers],[Gewas 7]]</f>
        <v>Gewas 7</v>
      </c>
      <c r="C112" s="210" t="s">
        <v>88</v>
      </c>
      <c r="D112" s="155">
        <f>D273</f>
        <v>0</v>
      </c>
      <c r="E112" s="155">
        <f t="shared" ref="E112:G112" si="6">E273</f>
        <v>0</v>
      </c>
      <c r="F112" s="155">
        <f t="shared" si="6"/>
        <v>0</v>
      </c>
      <c r="G112" s="155">
        <f t="shared" si="6"/>
        <v>0</v>
      </c>
      <c r="H112" s="210"/>
      <c r="I112" s="210"/>
      <c r="J112" s="210"/>
      <c r="L112"/>
      <c r="M112" s="210"/>
      <c r="N112" s="210"/>
      <c r="O112" s="210"/>
      <c r="P112" s="210"/>
      <c r="Q112" s="210"/>
      <c r="R112" s="210"/>
      <c r="S112" s="210"/>
      <c r="T112" s="210"/>
      <c r="U112" s="86"/>
      <c r="X112" s="86"/>
    </row>
    <row r="114" spans="2:30">
      <c r="B114" s="211" t="s">
        <v>134</v>
      </c>
      <c r="C114" s="22" t="s">
        <v>297</v>
      </c>
      <c r="D114" s="22" t="s">
        <v>114</v>
      </c>
      <c r="E114" s="22" t="s">
        <v>129</v>
      </c>
      <c r="F114" s="22" t="s">
        <v>79</v>
      </c>
      <c r="G114" s="22" t="s">
        <v>126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Z114" s="86"/>
    </row>
    <row r="115" spans="2:30" s="14" customFormat="1">
      <c r="B115" t="str">
        <f>Gewas0[[#Headers],[Grote lisdodde]]</f>
        <v>Grote lisdodde</v>
      </c>
      <c r="C115" s="210" t="s">
        <v>88</v>
      </c>
      <c r="D115" s="155">
        <f>D190</f>
        <v>0</v>
      </c>
      <c r="E115" s="155">
        <f t="shared" ref="E115:G115" si="7">E190</f>
        <v>9000</v>
      </c>
      <c r="F115" s="155">
        <f t="shared" si="7"/>
        <v>6000</v>
      </c>
      <c r="G115" s="155">
        <f t="shared" si="7"/>
        <v>3000</v>
      </c>
      <c r="H115" s="210"/>
      <c r="I115" s="210"/>
      <c r="J115" s="210"/>
      <c r="K115"/>
      <c r="L115"/>
      <c r="M115" s="210"/>
      <c r="N115" s="210"/>
      <c r="O115" s="210"/>
      <c r="P115" s="210"/>
      <c r="Q115" s="210"/>
      <c r="R115" s="210"/>
      <c r="S115" s="210"/>
      <c r="T115" s="210"/>
      <c r="U115"/>
      <c r="V115"/>
      <c r="W115" s="86"/>
      <c r="X115"/>
      <c r="Y115"/>
      <c r="Z115" s="86"/>
      <c r="AA115"/>
      <c r="AB115"/>
      <c r="AC115"/>
      <c r="AD115"/>
    </row>
    <row r="116" spans="2:30">
      <c r="B116" t="str">
        <f>Gewas059[[#Headers],[Kleine lisdodde]]</f>
        <v>Kleine lisdodde</v>
      </c>
      <c r="C116" s="210" t="s">
        <v>88</v>
      </c>
      <c r="D116" s="155">
        <f>D204</f>
        <v>0</v>
      </c>
      <c r="E116" s="155">
        <f t="shared" ref="E116:G116" si="8">E204</f>
        <v>9000</v>
      </c>
      <c r="F116" s="155">
        <f t="shared" si="8"/>
        <v>6000</v>
      </c>
      <c r="G116" s="155">
        <f t="shared" si="8"/>
        <v>3000</v>
      </c>
      <c r="H116" s="210"/>
      <c r="I116" s="210"/>
      <c r="J116" s="210"/>
      <c r="L116"/>
      <c r="M116" s="210"/>
      <c r="N116" s="210"/>
      <c r="O116" s="210"/>
      <c r="P116" s="210"/>
      <c r="Q116" s="210"/>
      <c r="R116" s="210"/>
      <c r="S116" s="210"/>
      <c r="T116" s="210"/>
      <c r="W116" s="86"/>
      <c r="Z116" s="86"/>
    </row>
    <row r="117" spans="2:30">
      <c r="B117" t="str">
        <f>Gewas05960[[#Headers],[Hennep]]</f>
        <v>Hennep</v>
      </c>
      <c r="C117" s="210" t="s">
        <v>88</v>
      </c>
      <c r="D117" s="155">
        <f>D218</f>
        <v>0</v>
      </c>
      <c r="E117" s="155">
        <f t="shared" ref="E117:G117" si="9">E218</f>
        <v>0</v>
      </c>
      <c r="F117" s="155">
        <f t="shared" si="9"/>
        <v>0</v>
      </c>
      <c r="G117" s="155">
        <f t="shared" si="9"/>
        <v>0</v>
      </c>
      <c r="H117" s="210"/>
      <c r="I117" s="210"/>
      <c r="J117" s="210"/>
      <c r="L117"/>
      <c r="M117" s="210"/>
      <c r="N117" s="210"/>
      <c r="O117" s="210"/>
      <c r="P117" s="210"/>
      <c r="Q117" s="210"/>
      <c r="R117" s="210"/>
      <c r="S117" s="210"/>
      <c r="T117" s="210"/>
      <c r="W117" s="86"/>
      <c r="Z117" s="86"/>
    </row>
    <row r="118" spans="2:30">
      <c r="B118" t="str">
        <f>Gewas0596061[[#Headers],[Riet]]</f>
        <v>Riet</v>
      </c>
      <c r="C118" s="210" t="s">
        <v>88</v>
      </c>
      <c r="D118" s="155">
        <f>D232</f>
        <v>0</v>
      </c>
      <c r="E118" s="155">
        <f t="shared" ref="E118:G118" si="10">E232</f>
        <v>7000</v>
      </c>
      <c r="F118" s="155">
        <f t="shared" si="10"/>
        <v>6000</v>
      </c>
      <c r="G118" s="155">
        <f t="shared" si="10"/>
        <v>5000</v>
      </c>
      <c r="H118" s="210"/>
      <c r="I118" s="210"/>
      <c r="J118" s="210"/>
      <c r="L118"/>
      <c r="M118" s="210"/>
      <c r="N118" s="210"/>
      <c r="O118" s="210"/>
      <c r="P118" s="210"/>
      <c r="Q118" s="210"/>
      <c r="R118" s="210"/>
      <c r="S118" s="210"/>
      <c r="T118" s="210"/>
      <c r="W118" s="86"/>
      <c r="Z118" s="86"/>
    </row>
    <row r="119" spans="2:30">
      <c r="B119" t="str">
        <f>Gewas059606162[[#Headers],[Silphie]]</f>
        <v>Silphie</v>
      </c>
      <c r="C119" s="210" t="s">
        <v>88</v>
      </c>
      <c r="D119" s="155">
        <f>D246</f>
        <v>0</v>
      </c>
      <c r="E119" s="155">
        <f t="shared" ref="E119:G119" si="11">E246</f>
        <v>9000</v>
      </c>
      <c r="F119" s="155">
        <f t="shared" si="11"/>
        <v>6000</v>
      </c>
      <c r="G119" s="155">
        <f t="shared" si="11"/>
        <v>3000</v>
      </c>
      <c r="H119" s="210"/>
      <c r="I119" s="210"/>
      <c r="J119" s="210"/>
      <c r="L119"/>
      <c r="M119" s="210"/>
      <c r="N119" s="210"/>
      <c r="O119" s="210"/>
      <c r="P119" s="210"/>
      <c r="Q119" s="210"/>
      <c r="R119" s="210"/>
      <c r="S119" s="210"/>
      <c r="T119" s="210"/>
      <c r="W119" s="86"/>
      <c r="Z119" s="86"/>
    </row>
    <row r="120" spans="2:30">
      <c r="B120" t="str">
        <f>Gewas05960616263[[#Headers],[Miscanthus]]</f>
        <v>Miscanthus</v>
      </c>
      <c r="C120" s="210" t="s">
        <v>88</v>
      </c>
      <c r="D120" s="155">
        <f>D260</f>
        <v>0</v>
      </c>
      <c r="E120" s="155">
        <f t="shared" ref="E120:G120" si="12">E260</f>
        <v>3000</v>
      </c>
      <c r="F120" s="155">
        <f t="shared" si="12"/>
        <v>2500</v>
      </c>
      <c r="G120" s="155">
        <f t="shared" si="12"/>
        <v>2000</v>
      </c>
      <c r="H120" s="210"/>
      <c r="I120" s="210"/>
      <c r="J120" s="210"/>
      <c r="L120"/>
      <c r="M120" s="210"/>
      <c r="N120" s="210"/>
      <c r="O120" s="210"/>
      <c r="P120" s="210"/>
      <c r="Q120" s="210"/>
      <c r="R120" s="210"/>
      <c r="S120" s="210"/>
      <c r="T120" s="210"/>
      <c r="W120" s="86"/>
      <c r="Z120" s="86"/>
    </row>
    <row r="121" spans="2:30">
      <c r="B121" t="str">
        <f>Gewas0596061626364[[#Headers],[Gewas 7]]</f>
        <v>Gewas 7</v>
      </c>
      <c r="C121" s="210" t="s">
        <v>88</v>
      </c>
      <c r="D121" s="155">
        <f>D274</f>
        <v>0</v>
      </c>
      <c r="E121" s="155">
        <f t="shared" ref="E121:G121" si="13">E274</f>
        <v>0</v>
      </c>
      <c r="F121" s="155">
        <f t="shared" si="13"/>
        <v>0</v>
      </c>
      <c r="G121" s="155">
        <f t="shared" si="13"/>
        <v>0</v>
      </c>
      <c r="H121" s="210"/>
      <c r="I121" s="210"/>
      <c r="J121" s="210"/>
      <c r="L121"/>
      <c r="M121" s="210"/>
      <c r="N121" s="210"/>
      <c r="O121" s="210"/>
      <c r="P121" s="210"/>
      <c r="Q121" s="210"/>
      <c r="R121" s="210"/>
      <c r="S121" s="210"/>
      <c r="T121" s="210"/>
      <c r="U121" s="86"/>
      <c r="X121" s="86"/>
    </row>
    <row r="122" spans="2:30">
      <c r="C122" s="210"/>
      <c r="D122" s="155"/>
      <c r="E122" s="155"/>
      <c r="F122" s="155"/>
      <c r="G122" s="155"/>
      <c r="H122" s="210"/>
      <c r="I122" s="210"/>
      <c r="J122" s="210"/>
      <c r="L122"/>
      <c r="M122" s="210"/>
      <c r="N122" s="210"/>
      <c r="O122" s="210"/>
      <c r="P122" s="210"/>
      <c r="Q122" s="210"/>
      <c r="R122" s="210"/>
      <c r="S122" s="210"/>
      <c r="T122" s="210"/>
      <c r="U122" s="86"/>
      <c r="X122" s="86"/>
    </row>
    <row r="123" spans="2:30">
      <c r="B123" s="211" t="s">
        <v>362</v>
      </c>
      <c r="C123" s="22" t="s">
        <v>363</v>
      </c>
      <c r="D123" s="22" t="s">
        <v>364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Z123" s="86"/>
    </row>
    <row r="124" spans="2:30" s="14" customFormat="1">
      <c r="B124" t="str">
        <f>Gewas0[[#Headers],[Grote lisdodde]]</f>
        <v>Grote lisdodde</v>
      </c>
      <c r="C124" s="210" t="str">
        <f>B192</f>
        <v>Gehele plant</v>
      </c>
      <c r="D124" s="155" t="str">
        <f>B193</f>
        <v>Aren</v>
      </c>
      <c r="E124" s="155"/>
      <c r="F124" s="155"/>
      <c r="G124" s="155"/>
      <c r="H124" s="210"/>
      <c r="I124" s="210"/>
      <c r="J124" s="210"/>
      <c r="K124"/>
      <c r="L124"/>
      <c r="M124" s="210"/>
      <c r="N124" s="210"/>
      <c r="O124" s="210"/>
      <c r="P124" s="210"/>
      <c r="Q124" s="210"/>
      <c r="R124" s="210"/>
      <c r="S124" s="210"/>
      <c r="T124" s="210"/>
      <c r="U124"/>
      <c r="V124"/>
      <c r="W124" s="86"/>
      <c r="X124"/>
      <c r="Y124"/>
      <c r="Z124" s="86"/>
      <c r="AA124"/>
      <c r="AB124"/>
      <c r="AC124"/>
      <c r="AD124"/>
    </row>
    <row r="125" spans="2:30">
      <c r="B125" t="str">
        <f>Gewas059[[#Headers],[Kleine lisdodde]]</f>
        <v>Kleine lisdodde</v>
      </c>
      <c r="C125" s="210" t="str">
        <f>B206</f>
        <v>Gehele plant</v>
      </c>
      <c r="D125" s="155" t="str">
        <f>B207</f>
        <v>Aren</v>
      </c>
      <c r="E125" s="155"/>
      <c r="F125" s="155"/>
      <c r="G125" s="155"/>
      <c r="H125" s="210"/>
      <c r="I125" s="210"/>
      <c r="J125" s="210"/>
      <c r="L125"/>
      <c r="M125" s="210"/>
      <c r="N125" s="210"/>
      <c r="O125" s="210"/>
      <c r="P125" s="210"/>
      <c r="Q125" s="210"/>
      <c r="R125" s="210"/>
      <c r="S125" s="210"/>
      <c r="T125" s="210"/>
      <c r="W125" s="86"/>
      <c r="Z125" s="86"/>
    </row>
    <row r="126" spans="2:30">
      <c r="B126" t="str">
        <f>Gewas05960[[#Headers],[Hennep]]</f>
        <v>Hennep</v>
      </c>
      <c r="C126" s="210" t="str">
        <f>B220</f>
        <v>Hennepstro</v>
      </c>
      <c r="D126" s="155" t="str">
        <f>B221</f>
        <v>Aren</v>
      </c>
      <c r="E126" s="155"/>
      <c r="F126" s="155"/>
      <c r="G126" s="155"/>
      <c r="H126" s="210"/>
      <c r="I126" s="210"/>
      <c r="J126" s="210"/>
      <c r="L126"/>
      <c r="M126" s="210"/>
      <c r="N126" s="210"/>
      <c r="O126" s="210"/>
      <c r="P126" s="210"/>
      <c r="Q126" s="210"/>
      <c r="R126" s="210"/>
      <c r="S126" s="210"/>
      <c r="T126" s="210"/>
      <c r="W126" s="86"/>
      <c r="Z126" s="86"/>
    </row>
    <row r="127" spans="2:30">
      <c r="B127" t="str">
        <f>Gewas0596061[[#Headers],[Riet]]</f>
        <v>Riet</v>
      </c>
      <c r="C127" s="210" t="str">
        <f>B234</f>
        <v>Rietvezel</v>
      </c>
      <c r="D127" s="155" t="str">
        <f>B235</f>
        <v>Bosjes rietdak</v>
      </c>
      <c r="E127" s="155"/>
      <c r="F127" s="155"/>
      <c r="G127" s="155"/>
      <c r="H127" s="210"/>
      <c r="I127" s="210"/>
      <c r="J127" s="210"/>
      <c r="L127"/>
      <c r="M127" s="210"/>
      <c r="N127" s="210"/>
      <c r="O127" s="210"/>
      <c r="P127" s="210"/>
      <c r="Q127" s="210"/>
      <c r="R127" s="210"/>
      <c r="S127" s="210"/>
      <c r="T127" s="210"/>
      <c r="W127" s="86"/>
      <c r="Z127" s="86"/>
    </row>
    <row r="128" spans="2:30">
      <c r="B128" t="str">
        <f>Gewas059606162[[#Headers],[Silphie]]</f>
        <v>Silphie</v>
      </c>
      <c r="C128" s="210" t="str">
        <f>B248</f>
        <v>Gehele plant</v>
      </c>
      <c r="D128" s="155" t="str">
        <f>B249</f>
        <v>Opbrengst 2</v>
      </c>
      <c r="E128" s="155"/>
      <c r="F128" s="155"/>
      <c r="G128" s="155"/>
      <c r="H128" s="210"/>
      <c r="I128" s="210"/>
      <c r="J128" s="210"/>
      <c r="L128"/>
      <c r="M128" s="210"/>
      <c r="N128" s="210"/>
      <c r="O128" s="210"/>
      <c r="P128" s="210"/>
      <c r="Q128" s="210"/>
      <c r="R128" s="210"/>
      <c r="S128" s="210"/>
      <c r="T128" s="210"/>
      <c r="W128" s="86"/>
      <c r="Z128" s="86"/>
    </row>
    <row r="129" spans="2:30">
      <c r="B129" t="str">
        <f>Gewas05960616263[[#Headers],[Miscanthus]]</f>
        <v>Miscanthus</v>
      </c>
      <c r="C129" s="210" t="str">
        <f>B262</f>
        <v>Miscanthus</v>
      </c>
      <c r="D129" s="155" t="str">
        <f>B263</f>
        <v>Opbrengst 2</v>
      </c>
      <c r="E129" s="155"/>
      <c r="F129" s="155"/>
      <c r="G129" s="155"/>
      <c r="H129" s="210"/>
      <c r="I129" s="210"/>
      <c r="J129" s="210"/>
      <c r="L129"/>
      <c r="M129" s="210"/>
      <c r="N129" s="210"/>
      <c r="O129" s="210"/>
      <c r="P129" s="210"/>
      <c r="Q129" s="210"/>
      <c r="R129" s="210"/>
      <c r="S129" s="210"/>
      <c r="T129" s="210"/>
      <c r="W129" s="86"/>
      <c r="Z129" s="86"/>
    </row>
    <row r="130" spans="2:30">
      <c r="B130" t="str">
        <f>Gewas0596061626364[[#Headers],[Gewas 7]]</f>
        <v>Gewas 7</v>
      </c>
      <c r="C130" s="210" t="str">
        <f>B276</f>
        <v>Opbrengst 1</v>
      </c>
      <c r="D130" s="155" t="str">
        <f>B277</f>
        <v>Opbrengst 2</v>
      </c>
      <c r="E130" s="155"/>
      <c r="F130" s="155"/>
      <c r="G130" s="155"/>
      <c r="H130" s="210"/>
      <c r="I130" s="210"/>
      <c r="J130" s="210"/>
      <c r="L130"/>
      <c r="M130" s="210"/>
      <c r="N130" s="210"/>
      <c r="O130" s="210"/>
      <c r="P130" s="210"/>
      <c r="Q130" s="210"/>
      <c r="R130" s="210"/>
      <c r="S130" s="210"/>
      <c r="T130" s="210"/>
      <c r="U130" s="86"/>
      <c r="X130" s="86"/>
    </row>
    <row r="132" spans="2:30">
      <c r="B132" s="211" t="s">
        <v>363</v>
      </c>
      <c r="C132" s="22" t="s">
        <v>297</v>
      </c>
      <c r="D132" s="22" t="s">
        <v>114</v>
      </c>
      <c r="E132" s="22" t="s">
        <v>129</v>
      </c>
      <c r="F132" s="22" t="s">
        <v>79</v>
      </c>
      <c r="G132" s="22" t="s">
        <v>126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Z132" s="86"/>
    </row>
    <row r="133" spans="2:30" s="14" customFormat="1">
      <c r="B133" t="str">
        <f>Gewas0[[#Headers],[Grote lisdodde]]</f>
        <v>Grote lisdodde</v>
      </c>
      <c r="C133" s="210" t="s">
        <v>142</v>
      </c>
      <c r="D133" s="155">
        <f>D192</f>
        <v>0</v>
      </c>
      <c r="E133" s="155">
        <f t="shared" ref="E133:G133" si="14">E192</f>
        <v>15</v>
      </c>
      <c r="F133" s="155">
        <f t="shared" si="14"/>
        <v>12</v>
      </c>
      <c r="G133" s="155">
        <f t="shared" si="14"/>
        <v>9</v>
      </c>
      <c r="H133" s="210"/>
      <c r="I133" s="210"/>
      <c r="J133" s="210"/>
      <c r="K133"/>
      <c r="L133"/>
      <c r="M133" s="210"/>
      <c r="N133" s="210"/>
      <c r="O133" s="210"/>
      <c r="P133" s="210"/>
      <c r="Q133" s="210"/>
      <c r="R133" s="210"/>
      <c r="S133" s="210"/>
      <c r="T133" s="210"/>
      <c r="U133"/>
      <c r="V133"/>
      <c r="W133" s="86"/>
      <c r="X133"/>
      <c r="Y133"/>
      <c r="Z133" s="86"/>
      <c r="AA133"/>
      <c r="AB133"/>
      <c r="AC133"/>
      <c r="AD133"/>
    </row>
    <row r="134" spans="2:30">
      <c r="B134" t="str">
        <f>Gewas059[[#Headers],[Kleine lisdodde]]</f>
        <v>Kleine lisdodde</v>
      </c>
      <c r="C134" s="210" t="s">
        <v>142</v>
      </c>
      <c r="D134" s="155">
        <f>D206</f>
        <v>0</v>
      </c>
      <c r="E134" s="155">
        <f t="shared" ref="E134:G134" si="15">E206</f>
        <v>15</v>
      </c>
      <c r="F134" s="155">
        <f t="shared" si="15"/>
        <v>12</v>
      </c>
      <c r="G134" s="155">
        <f t="shared" si="15"/>
        <v>9</v>
      </c>
      <c r="H134" s="210"/>
      <c r="I134" s="210"/>
      <c r="J134" s="210"/>
      <c r="L134"/>
      <c r="M134" s="210"/>
      <c r="N134" s="210"/>
      <c r="O134" s="210"/>
      <c r="P134" s="210"/>
      <c r="Q134" s="210"/>
      <c r="R134" s="210"/>
      <c r="S134" s="210"/>
      <c r="T134" s="210"/>
      <c r="W134" s="86"/>
      <c r="Z134" s="86"/>
    </row>
    <row r="135" spans="2:30">
      <c r="B135" t="str">
        <f>Gewas05960[[#Headers],[Hennep]]</f>
        <v>Hennep</v>
      </c>
      <c r="C135" s="210" t="s">
        <v>142</v>
      </c>
      <c r="D135" s="155">
        <f>D220</f>
        <v>0</v>
      </c>
      <c r="E135" s="155">
        <f>E220</f>
        <v>8.5</v>
      </c>
      <c r="F135" s="155">
        <f t="shared" ref="F135:G135" si="16">F220</f>
        <v>8</v>
      </c>
      <c r="G135" s="155">
        <f t="shared" si="16"/>
        <v>7.5</v>
      </c>
      <c r="H135" s="210"/>
      <c r="I135" s="210"/>
      <c r="J135" s="210"/>
      <c r="L135"/>
      <c r="M135" s="210"/>
      <c r="N135" s="210"/>
      <c r="O135" s="210"/>
      <c r="P135" s="210"/>
      <c r="Q135" s="210"/>
      <c r="R135" s="210"/>
      <c r="S135" s="210"/>
      <c r="T135" s="210"/>
      <c r="W135" s="86"/>
      <c r="Z135" s="86"/>
    </row>
    <row r="136" spans="2:30">
      <c r="B136" t="str">
        <f>Gewas0596061[[#Headers],[Riet]]</f>
        <v>Riet</v>
      </c>
      <c r="C136" s="210" t="s">
        <v>142</v>
      </c>
      <c r="D136" s="155">
        <f>D234</f>
        <v>0</v>
      </c>
      <c r="E136" s="155">
        <f t="shared" ref="E136:G136" si="17">E234</f>
        <v>15</v>
      </c>
      <c r="F136" s="155">
        <f t="shared" si="17"/>
        <v>12.5</v>
      </c>
      <c r="G136" s="155">
        <f t="shared" si="17"/>
        <v>10</v>
      </c>
      <c r="H136" s="210"/>
      <c r="I136" s="210"/>
      <c r="J136" s="210"/>
      <c r="L136"/>
      <c r="M136" s="210"/>
      <c r="N136" s="210"/>
      <c r="O136" s="210"/>
      <c r="P136" s="210"/>
      <c r="Q136" s="210"/>
      <c r="R136" s="210"/>
      <c r="S136" s="210"/>
      <c r="T136" s="210"/>
      <c r="W136" s="86"/>
      <c r="Z136" s="86"/>
    </row>
    <row r="137" spans="2:30">
      <c r="B137" t="str">
        <f>Gewas059606162[[#Headers],[Silphie]]</f>
        <v>Silphie</v>
      </c>
      <c r="C137" s="210" t="s">
        <v>142</v>
      </c>
      <c r="D137" s="155">
        <f>D248</f>
        <v>0</v>
      </c>
      <c r="E137" s="155">
        <f t="shared" ref="E137:G137" si="18">E248</f>
        <v>20</v>
      </c>
      <c r="F137" s="155">
        <f t="shared" si="18"/>
        <v>15</v>
      </c>
      <c r="G137" s="155">
        <f t="shared" si="18"/>
        <v>10</v>
      </c>
      <c r="H137" s="210"/>
      <c r="I137" s="210"/>
      <c r="J137" s="210"/>
      <c r="L137"/>
      <c r="M137" s="210"/>
      <c r="N137" s="210"/>
      <c r="O137" s="210"/>
      <c r="P137" s="210"/>
      <c r="Q137" s="210"/>
      <c r="R137" s="210"/>
      <c r="S137" s="210"/>
      <c r="T137" s="210"/>
      <c r="W137" s="86"/>
      <c r="Z137" s="86"/>
    </row>
    <row r="138" spans="2:30">
      <c r="B138" t="str">
        <f>Gewas05960616263[[#Headers],[Miscanthus]]</f>
        <v>Miscanthus</v>
      </c>
      <c r="C138" s="210" t="s">
        <v>142</v>
      </c>
      <c r="D138" s="155">
        <f>D262</f>
        <v>0</v>
      </c>
      <c r="E138" s="155">
        <f t="shared" ref="E138:G138" si="19">E262</f>
        <v>12</v>
      </c>
      <c r="F138" s="155">
        <f t="shared" si="19"/>
        <v>10</v>
      </c>
      <c r="G138" s="155">
        <f t="shared" si="19"/>
        <v>8</v>
      </c>
      <c r="H138" s="210"/>
      <c r="I138" s="210"/>
      <c r="J138" s="210"/>
      <c r="L138"/>
      <c r="M138" s="210"/>
      <c r="N138" s="210"/>
      <c r="O138" s="210"/>
      <c r="P138" s="210"/>
      <c r="Q138" s="210"/>
      <c r="R138" s="210"/>
      <c r="S138" s="210"/>
      <c r="T138" s="210"/>
      <c r="W138" s="86"/>
      <c r="Z138" s="86"/>
    </row>
    <row r="139" spans="2:30">
      <c r="B139" t="str">
        <f>Gewas0596061626364[[#Headers],[Gewas 7]]</f>
        <v>Gewas 7</v>
      </c>
      <c r="C139" s="210" t="s">
        <v>142</v>
      </c>
      <c r="D139" s="155">
        <f>D276</f>
        <v>0</v>
      </c>
      <c r="E139" s="155">
        <f t="shared" ref="E139:G139" si="20">E276</f>
        <v>0</v>
      </c>
      <c r="F139" s="155">
        <f t="shared" si="20"/>
        <v>0</v>
      </c>
      <c r="G139" s="155">
        <f t="shared" si="20"/>
        <v>0</v>
      </c>
      <c r="H139" s="210"/>
      <c r="I139" s="210"/>
      <c r="J139" s="210"/>
      <c r="L139"/>
      <c r="M139" s="210"/>
      <c r="N139" s="210"/>
      <c r="O139" s="210"/>
      <c r="P139" s="210"/>
      <c r="Q139" s="210"/>
      <c r="R139" s="210"/>
      <c r="S139" s="210"/>
      <c r="T139" s="210"/>
      <c r="U139" s="86"/>
      <c r="X139" s="86"/>
    </row>
    <row r="141" spans="2:30">
      <c r="B141" s="211" t="s">
        <v>364</v>
      </c>
      <c r="C141" s="22" t="s">
        <v>297</v>
      </c>
      <c r="D141" s="22" t="s">
        <v>114</v>
      </c>
      <c r="E141" s="22" t="s">
        <v>129</v>
      </c>
      <c r="F141" s="22" t="s">
        <v>79</v>
      </c>
      <c r="G141" s="22" t="s">
        <v>126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Z141" s="86"/>
    </row>
    <row r="142" spans="2:30" s="14" customFormat="1">
      <c r="B142" t="str">
        <f>Gewas0[[#Headers],[Grote lisdodde]]</f>
        <v>Grote lisdodde</v>
      </c>
      <c r="C142" s="210" t="s">
        <v>142</v>
      </c>
      <c r="D142" s="155">
        <f>D193</f>
        <v>0</v>
      </c>
      <c r="E142" s="155">
        <f t="shared" ref="E142:G142" si="21">E193</f>
        <v>3</v>
      </c>
      <c r="F142" s="155">
        <f t="shared" si="21"/>
        <v>2</v>
      </c>
      <c r="G142" s="155">
        <f t="shared" si="21"/>
        <v>1.2</v>
      </c>
      <c r="H142" s="210"/>
      <c r="I142" s="210"/>
      <c r="J142" s="210"/>
      <c r="K142"/>
      <c r="L142"/>
      <c r="M142" s="210"/>
      <c r="N142" s="210"/>
      <c r="O142" s="210"/>
      <c r="P142" s="210"/>
      <c r="Q142" s="210"/>
      <c r="R142" s="210"/>
      <c r="S142" s="210"/>
      <c r="T142" s="210"/>
      <c r="U142"/>
      <c r="V142"/>
      <c r="W142" s="86"/>
      <c r="X142"/>
      <c r="Y142"/>
      <c r="Z142" s="86"/>
      <c r="AA142"/>
      <c r="AB142"/>
      <c r="AC142"/>
      <c r="AD142"/>
    </row>
    <row r="143" spans="2:30">
      <c r="B143" t="str">
        <f>Gewas059[[#Headers],[Kleine lisdodde]]</f>
        <v>Kleine lisdodde</v>
      </c>
      <c r="C143" s="210" t="s">
        <v>142</v>
      </c>
      <c r="D143" s="155">
        <f>D207</f>
        <v>0</v>
      </c>
      <c r="E143" s="155">
        <f t="shared" ref="E143:G143" si="22">E207</f>
        <v>0.75</v>
      </c>
      <c r="F143" s="155">
        <f t="shared" si="22"/>
        <v>0.5</v>
      </c>
      <c r="G143" s="155">
        <f t="shared" si="22"/>
        <v>0.3</v>
      </c>
      <c r="H143" s="210"/>
      <c r="I143" s="210"/>
      <c r="J143" s="210"/>
      <c r="L143"/>
      <c r="M143" s="210"/>
      <c r="N143" s="210"/>
      <c r="O143" s="210"/>
      <c r="P143" s="210"/>
      <c r="Q143" s="210"/>
      <c r="R143" s="210"/>
      <c r="S143" s="210"/>
      <c r="T143" s="210"/>
      <c r="W143" s="86"/>
      <c r="Z143" s="86"/>
    </row>
    <row r="144" spans="2:30">
      <c r="B144" t="str">
        <f>Gewas05960[[#Headers],[Hennep]]</f>
        <v>Hennep</v>
      </c>
      <c r="C144" s="210" t="s">
        <v>142</v>
      </c>
      <c r="D144" s="155">
        <f>D221</f>
        <v>0</v>
      </c>
      <c r="E144" s="155">
        <f t="shared" ref="E144:G144" si="23">E221</f>
        <v>0</v>
      </c>
      <c r="F144" s="155">
        <f t="shared" si="23"/>
        <v>0</v>
      </c>
      <c r="G144" s="155">
        <f t="shared" si="23"/>
        <v>0</v>
      </c>
      <c r="H144" s="210"/>
      <c r="I144" s="210"/>
      <c r="J144" s="210"/>
      <c r="L144"/>
      <c r="M144" s="210"/>
      <c r="N144" s="210"/>
      <c r="O144" s="210"/>
      <c r="P144" s="210"/>
      <c r="Q144" s="210"/>
      <c r="R144" s="210"/>
      <c r="S144" s="210"/>
      <c r="T144" s="210"/>
      <c r="W144" s="86"/>
      <c r="Z144" s="86"/>
    </row>
    <row r="145" spans="2:30">
      <c r="B145" t="str">
        <f>Gewas0596061[[#Headers],[Riet]]</f>
        <v>Riet</v>
      </c>
      <c r="C145" s="210" t="s">
        <v>142</v>
      </c>
      <c r="D145" s="155">
        <f>D235</f>
        <v>0</v>
      </c>
      <c r="E145" s="155">
        <f t="shared" ref="E145:G145" si="24">E235</f>
        <v>15</v>
      </c>
      <c r="F145" s="155">
        <f t="shared" si="24"/>
        <v>12.5</v>
      </c>
      <c r="G145" s="155">
        <f t="shared" si="24"/>
        <v>10</v>
      </c>
      <c r="H145" s="210"/>
      <c r="I145" s="210"/>
      <c r="J145" s="210"/>
      <c r="L145"/>
      <c r="M145" s="210"/>
      <c r="N145" s="210"/>
      <c r="O145" s="210"/>
      <c r="P145" s="210"/>
      <c r="Q145" s="210"/>
      <c r="R145" s="210"/>
      <c r="S145" s="210"/>
      <c r="T145" s="210"/>
      <c r="W145" s="86"/>
      <c r="Z145" s="86"/>
    </row>
    <row r="146" spans="2:30">
      <c r="B146" t="str">
        <f>Gewas059606162[[#Headers],[Silphie]]</f>
        <v>Silphie</v>
      </c>
      <c r="C146" s="210" t="s">
        <v>142</v>
      </c>
      <c r="D146" s="155">
        <f>D249</f>
        <v>0</v>
      </c>
      <c r="E146" s="155">
        <f t="shared" ref="E146:G146" si="25">E249</f>
        <v>0</v>
      </c>
      <c r="F146" s="155">
        <f t="shared" si="25"/>
        <v>0</v>
      </c>
      <c r="G146" s="155">
        <f t="shared" si="25"/>
        <v>0</v>
      </c>
      <c r="H146" s="210"/>
      <c r="I146" s="210"/>
      <c r="J146" s="210"/>
      <c r="L146"/>
      <c r="M146" s="210"/>
      <c r="N146" s="210"/>
      <c r="O146" s="210"/>
      <c r="P146" s="210"/>
      <c r="Q146" s="210"/>
      <c r="R146" s="210"/>
      <c r="S146" s="210"/>
      <c r="T146" s="210"/>
      <c r="W146" s="86"/>
      <c r="Z146" s="86"/>
    </row>
    <row r="147" spans="2:30">
      <c r="B147" t="str">
        <f>Gewas05960616263[[#Headers],[Miscanthus]]</f>
        <v>Miscanthus</v>
      </c>
      <c r="C147" s="210" t="s">
        <v>142</v>
      </c>
      <c r="D147" s="155">
        <f>D263</f>
        <v>0</v>
      </c>
      <c r="E147" s="155">
        <f t="shared" ref="E147:G147" si="26">E263</f>
        <v>0</v>
      </c>
      <c r="F147" s="155">
        <f t="shared" si="26"/>
        <v>0</v>
      </c>
      <c r="G147" s="155">
        <f t="shared" si="26"/>
        <v>0</v>
      </c>
      <c r="H147" s="210"/>
      <c r="I147" s="210"/>
      <c r="J147" s="210"/>
      <c r="L147"/>
      <c r="M147" s="210"/>
      <c r="N147" s="210"/>
      <c r="O147" s="210"/>
      <c r="P147" s="210"/>
      <c r="Q147" s="210"/>
      <c r="R147" s="210"/>
      <c r="S147" s="210"/>
      <c r="T147" s="210"/>
      <c r="W147" s="86"/>
      <c r="Z147" s="86"/>
    </row>
    <row r="148" spans="2:30">
      <c r="B148" t="str">
        <f>Gewas0596061626364[[#Headers],[Gewas 7]]</f>
        <v>Gewas 7</v>
      </c>
      <c r="C148" s="210" t="s">
        <v>142</v>
      </c>
      <c r="D148" s="155">
        <f>D277</f>
        <v>0</v>
      </c>
      <c r="E148" s="155">
        <f t="shared" ref="E148:G148" si="27">E277</f>
        <v>0</v>
      </c>
      <c r="F148" s="155">
        <f t="shared" si="27"/>
        <v>0</v>
      </c>
      <c r="G148" s="155">
        <f t="shared" si="27"/>
        <v>0</v>
      </c>
      <c r="H148" s="210"/>
      <c r="I148" s="210"/>
      <c r="J148" s="210"/>
      <c r="L148"/>
      <c r="M148" s="210"/>
      <c r="N148" s="210"/>
      <c r="O148" s="210"/>
      <c r="P148" s="210"/>
      <c r="Q148" s="210"/>
      <c r="R148" s="210"/>
      <c r="S148" s="210"/>
      <c r="T148" s="210"/>
      <c r="U148" s="86"/>
      <c r="X148" s="86"/>
    </row>
    <row r="150" spans="2:30">
      <c r="B150" s="211" t="s">
        <v>531</v>
      </c>
      <c r="C150" s="22" t="s">
        <v>297</v>
      </c>
      <c r="D150" s="22" t="s">
        <v>114</v>
      </c>
      <c r="E150" s="22" t="s">
        <v>129</v>
      </c>
      <c r="F150" s="22" t="s">
        <v>79</v>
      </c>
      <c r="G150" s="22" t="s">
        <v>126</v>
      </c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Z150" s="86"/>
    </row>
    <row r="151" spans="2:30" s="14" customFormat="1">
      <c r="B151" t="str">
        <f>Gewas0[[#Headers],[Grote lisdodde]]</f>
        <v>Grote lisdodde</v>
      </c>
      <c r="C151" s="210" t="s">
        <v>532</v>
      </c>
      <c r="D151" s="155">
        <f>D195</f>
        <v>0</v>
      </c>
      <c r="E151" s="155">
        <f t="shared" ref="E151:G151" si="28">E195</f>
        <v>300</v>
      </c>
      <c r="F151" s="155">
        <f t="shared" si="28"/>
        <v>200</v>
      </c>
      <c r="G151" s="155">
        <f t="shared" si="28"/>
        <v>100</v>
      </c>
      <c r="H151" s="210"/>
      <c r="I151" s="210"/>
      <c r="J151" s="210"/>
      <c r="K151"/>
      <c r="L151"/>
      <c r="M151" s="210"/>
      <c r="N151" s="210"/>
      <c r="O151" s="210"/>
      <c r="P151" s="210"/>
      <c r="Q151" s="210"/>
      <c r="R151" s="210"/>
      <c r="S151" s="210"/>
      <c r="T151" s="210"/>
      <c r="U151"/>
      <c r="V151"/>
      <c r="W151" s="86"/>
      <c r="X151"/>
      <c r="Y151"/>
      <c r="Z151" s="86"/>
      <c r="AA151"/>
      <c r="AB151"/>
      <c r="AC151"/>
      <c r="AD151"/>
    </row>
    <row r="152" spans="2:30">
      <c r="B152" t="str">
        <f>Gewas059[[#Headers],[Kleine lisdodde]]</f>
        <v>Kleine lisdodde</v>
      </c>
      <c r="C152" s="210" t="s">
        <v>532</v>
      </c>
      <c r="D152" s="155">
        <f>D206</f>
        <v>0</v>
      </c>
      <c r="E152" s="155">
        <f>E209</f>
        <v>300</v>
      </c>
      <c r="F152" s="155">
        <f t="shared" ref="F152:G152" si="29">F209</f>
        <v>200</v>
      </c>
      <c r="G152" s="155">
        <f t="shared" si="29"/>
        <v>100</v>
      </c>
      <c r="H152" s="210"/>
      <c r="I152" s="210"/>
      <c r="J152" s="210"/>
      <c r="L152"/>
      <c r="M152" s="210"/>
      <c r="N152" s="210"/>
      <c r="O152" s="210"/>
      <c r="P152" s="210"/>
      <c r="Q152" s="210"/>
      <c r="R152" s="210"/>
      <c r="S152" s="210"/>
      <c r="T152" s="210"/>
      <c r="W152" s="86"/>
      <c r="Z152" s="86"/>
    </row>
    <row r="153" spans="2:30">
      <c r="B153" t="str">
        <f>Gewas05960[[#Headers],[Hennep]]</f>
        <v>Hennep</v>
      </c>
      <c r="C153" s="210" t="s">
        <v>532</v>
      </c>
      <c r="D153" s="155">
        <f>D220</f>
        <v>0</v>
      </c>
      <c r="E153" s="155">
        <f>E223</f>
        <v>130</v>
      </c>
      <c r="F153" s="155">
        <f>F223</f>
        <v>126</v>
      </c>
      <c r="G153" s="155">
        <f>G223</f>
        <v>110</v>
      </c>
      <c r="H153" s="210"/>
      <c r="I153" s="210"/>
      <c r="J153" s="210"/>
      <c r="L153"/>
      <c r="M153" s="210"/>
      <c r="N153" s="210"/>
      <c r="O153" s="210"/>
      <c r="P153" s="210"/>
      <c r="Q153" s="210"/>
      <c r="R153" s="210"/>
      <c r="S153" s="210"/>
      <c r="T153" s="210"/>
      <c r="W153" s="86"/>
      <c r="Z153" s="86"/>
    </row>
    <row r="154" spans="2:30">
      <c r="B154" t="str">
        <f>Gewas0596061[[#Headers],[Riet]]</f>
        <v>Riet</v>
      </c>
      <c r="C154" s="210" t="s">
        <v>532</v>
      </c>
      <c r="D154" s="155">
        <f>D234</f>
        <v>0</v>
      </c>
      <c r="E154" s="155">
        <f>E237</f>
        <v>110</v>
      </c>
      <c r="F154" s="155">
        <f t="shared" ref="F154:G154" si="30">F237</f>
        <v>90</v>
      </c>
      <c r="G154" s="155">
        <f t="shared" si="30"/>
        <v>30</v>
      </c>
      <c r="H154" s="210"/>
      <c r="I154" s="210"/>
      <c r="J154" s="210"/>
      <c r="L154"/>
      <c r="M154" s="210"/>
      <c r="N154" s="210"/>
      <c r="O154" s="210"/>
      <c r="P154" s="210"/>
      <c r="Q154" s="210"/>
      <c r="R154" s="210"/>
      <c r="S154" s="210"/>
      <c r="T154" s="210"/>
      <c r="W154" s="86"/>
      <c r="Z154" s="86"/>
    </row>
    <row r="155" spans="2:30">
      <c r="B155" t="str">
        <f>Gewas059606162[[#Headers],[Silphie]]</f>
        <v>Silphie</v>
      </c>
      <c r="C155" s="210" t="s">
        <v>532</v>
      </c>
      <c r="D155" s="155">
        <f>D251</f>
        <v>0</v>
      </c>
      <c r="E155" s="155">
        <f t="shared" ref="E155:G155" si="31">E251</f>
        <v>172.5</v>
      </c>
      <c r="F155" s="155">
        <f t="shared" si="31"/>
        <v>138</v>
      </c>
      <c r="G155" s="155">
        <f t="shared" si="31"/>
        <v>103.5</v>
      </c>
      <c r="H155" s="210"/>
      <c r="I155" s="210"/>
      <c r="J155" s="210"/>
      <c r="L155"/>
      <c r="M155" s="210"/>
      <c r="N155" s="210"/>
      <c r="O155" s="210"/>
      <c r="P155" s="210"/>
      <c r="Q155" s="210"/>
      <c r="R155" s="210"/>
      <c r="S155" s="210"/>
      <c r="T155" s="210"/>
      <c r="W155" s="86"/>
      <c r="Z155" s="86"/>
    </row>
    <row r="156" spans="2:30">
      <c r="B156" t="str">
        <f>Gewas05960616263[[#Headers],[Miscanthus]]</f>
        <v>Miscanthus</v>
      </c>
      <c r="C156" s="210" t="s">
        <v>532</v>
      </c>
      <c r="D156" s="155">
        <f>D265</f>
        <v>0</v>
      </c>
      <c r="E156" s="155">
        <f t="shared" ref="E156:G156" si="32">E265</f>
        <v>120</v>
      </c>
      <c r="F156" s="155">
        <f>F265</f>
        <v>100</v>
      </c>
      <c r="G156" s="155">
        <f t="shared" si="32"/>
        <v>80</v>
      </c>
      <c r="H156" s="210"/>
      <c r="I156" s="210"/>
      <c r="J156" s="210"/>
      <c r="L156"/>
      <c r="M156" s="210"/>
      <c r="N156" s="210"/>
      <c r="O156" s="210"/>
      <c r="P156" s="210"/>
      <c r="Q156" s="210"/>
      <c r="R156" s="210"/>
      <c r="S156" s="210"/>
      <c r="T156" s="210"/>
      <c r="W156" s="86"/>
      <c r="Z156" s="86"/>
    </row>
    <row r="157" spans="2:30">
      <c r="B157" t="str">
        <f>Gewas0596061626364[[#Headers],[Gewas 7]]</f>
        <v>Gewas 7</v>
      </c>
      <c r="C157" s="210" t="s">
        <v>532</v>
      </c>
      <c r="D157" s="155">
        <f>D279</f>
        <v>0</v>
      </c>
      <c r="E157" s="155">
        <f t="shared" ref="E157:G157" si="33">E279</f>
        <v>0</v>
      </c>
      <c r="F157" s="155">
        <f t="shared" si="33"/>
        <v>0</v>
      </c>
      <c r="G157" s="155">
        <f t="shared" si="33"/>
        <v>0</v>
      </c>
      <c r="H157" s="210"/>
      <c r="I157" s="210"/>
      <c r="J157" s="210"/>
      <c r="L157"/>
      <c r="M157" s="210"/>
      <c r="N157" s="210"/>
      <c r="O157" s="210"/>
      <c r="P157" s="210"/>
      <c r="Q157" s="210"/>
      <c r="R157" s="210"/>
      <c r="S157" s="210"/>
      <c r="T157" s="210"/>
      <c r="U157" s="86"/>
      <c r="X157" s="86"/>
    </row>
    <row r="159" spans="2:30">
      <c r="B159" s="211" t="s">
        <v>533</v>
      </c>
      <c r="C159" s="22" t="s">
        <v>297</v>
      </c>
      <c r="D159" s="22" t="s">
        <v>114</v>
      </c>
      <c r="E159" s="22" t="s">
        <v>129</v>
      </c>
      <c r="F159" s="22" t="s">
        <v>79</v>
      </c>
      <c r="G159" s="22" t="s">
        <v>126</v>
      </c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Z159" s="86"/>
    </row>
    <row r="160" spans="2:30" s="14" customFormat="1">
      <c r="B160" t="str">
        <f>Gewas0[[#Headers],[Grote lisdodde]]</f>
        <v>Grote lisdodde</v>
      </c>
      <c r="C160" s="210" t="s">
        <v>532</v>
      </c>
      <c r="D160" s="155">
        <f>D196</f>
        <v>0</v>
      </c>
      <c r="E160" s="155">
        <f t="shared" ref="E160:G160" si="34">E196</f>
        <v>1790</v>
      </c>
      <c r="F160" s="155">
        <f t="shared" si="34"/>
        <v>1290</v>
      </c>
      <c r="G160" s="155">
        <f t="shared" si="34"/>
        <v>800</v>
      </c>
      <c r="H160" s="210"/>
      <c r="I160" s="210"/>
      <c r="J160" s="210"/>
      <c r="K160"/>
      <c r="L160"/>
      <c r="M160" s="210"/>
      <c r="N160" s="210"/>
      <c r="O160" s="210"/>
      <c r="P160" s="210"/>
      <c r="Q160" s="210"/>
      <c r="R160" s="210"/>
      <c r="S160" s="210"/>
      <c r="T160" s="210"/>
      <c r="U160"/>
      <c r="V160"/>
      <c r="W160" s="86"/>
      <c r="X160"/>
      <c r="Y160"/>
      <c r="Z160" s="86"/>
      <c r="AA160"/>
      <c r="AB160"/>
      <c r="AC160"/>
      <c r="AD160"/>
    </row>
    <row r="161" spans="2:30">
      <c r="B161" t="str">
        <f>Gewas059[[#Headers],[Kleine lisdodde]]</f>
        <v>Kleine lisdodde</v>
      </c>
      <c r="C161" s="210" t="s">
        <v>532</v>
      </c>
      <c r="D161" s="155">
        <f>D210</f>
        <v>0</v>
      </c>
      <c r="E161" s="155">
        <f t="shared" ref="E161:G161" si="35">E210</f>
        <v>1790</v>
      </c>
      <c r="F161" s="155">
        <f t="shared" si="35"/>
        <v>1290</v>
      </c>
      <c r="G161" s="155">
        <f t="shared" si="35"/>
        <v>800</v>
      </c>
      <c r="H161" s="210"/>
      <c r="I161" s="210"/>
      <c r="J161" s="210"/>
      <c r="L161"/>
      <c r="M161" s="210"/>
      <c r="N161" s="210"/>
      <c r="O161" s="210"/>
      <c r="P161" s="210"/>
      <c r="Q161" s="210"/>
      <c r="R161" s="210"/>
      <c r="S161" s="210"/>
      <c r="T161" s="210"/>
      <c r="W161" s="86"/>
      <c r="Z161" s="86"/>
    </row>
    <row r="162" spans="2:30">
      <c r="B162" t="str">
        <f>Gewas05960[[#Headers],[Hennep]]</f>
        <v>Hennep</v>
      </c>
      <c r="C162" s="210" t="s">
        <v>532</v>
      </c>
      <c r="D162" s="155">
        <f>D224</f>
        <v>0</v>
      </c>
      <c r="E162" s="155">
        <f>E224</f>
        <v>0</v>
      </c>
      <c r="F162" s="155">
        <f t="shared" ref="F162:G162" si="36">F224</f>
        <v>0</v>
      </c>
      <c r="G162" s="155">
        <f t="shared" si="36"/>
        <v>0</v>
      </c>
      <c r="H162" s="210"/>
      <c r="I162" s="210"/>
      <c r="J162" s="210"/>
      <c r="L162"/>
      <c r="M162" s="210"/>
      <c r="N162" s="210"/>
      <c r="O162" s="210"/>
      <c r="P162" s="210"/>
      <c r="Q162" s="210"/>
      <c r="R162" s="210"/>
      <c r="S162" s="210"/>
      <c r="T162" s="210"/>
      <c r="W162" s="86"/>
      <c r="Z162" s="86"/>
    </row>
    <row r="163" spans="2:30">
      <c r="B163" t="str">
        <f>Gewas0596061[[#Headers],[Riet]]</f>
        <v>Riet</v>
      </c>
      <c r="C163" s="210" t="s">
        <v>532</v>
      </c>
      <c r="D163" s="155">
        <f>D238</f>
        <v>0</v>
      </c>
      <c r="E163" s="155">
        <f t="shared" ref="E163:G163" si="37">E238</f>
        <v>580</v>
      </c>
      <c r="F163" s="155">
        <f t="shared" si="37"/>
        <v>440</v>
      </c>
      <c r="G163" s="155">
        <f t="shared" si="37"/>
        <v>300</v>
      </c>
      <c r="H163" s="210"/>
      <c r="I163" s="210"/>
      <c r="J163" s="210"/>
      <c r="L163"/>
      <c r="M163" s="210"/>
      <c r="N163" s="210"/>
      <c r="O163" s="210"/>
      <c r="P163" s="210"/>
      <c r="Q163" s="210"/>
      <c r="R163" s="210"/>
      <c r="S163" s="210"/>
      <c r="T163" s="210"/>
      <c r="W163" s="86"/>
      <c r="Z163" s="86"/>
    </row>
    <row r="164" spans="2:30">
      <c r="B164" t="str">
        <f>Gewas059606162[[#Headers],[Silphie]]</f>
        <v>Silphie</v>
      </c>
      <c r="C164" s="210" t="s">
        <v>532</v>
      </c>
      <c r="D164" s="155">
        <f>D252</f>
        <v>0</v>
      </c>
      <c r="E164" s="155">
        <f t="shared" ref="E164:G164" si="38">E252</f>
        <v>0</v>
      </c>
      <c r="F164" s="155">
        <f t="shared" si="38"/>
        <v>0</v>
      </c>
      <c r="G164" s="155">
        <f t="shared" si="38"/>
        <v>0</v>
      </c>
      <c r="H164" s="210"/>
      <c r="I164" s="210"/>
      <c r="J164" s="210"/>
      <c r="L164"/>
      <c r="M164" s="210"/>
      <c r="N164" s="210"/>
      <c r="O164" s="210"/>
      <c r="P164" s="210"/>
      <c r="Q164" s="210"/>
      <c r="R164" s="210"/>
      <c r="S164" s="210"/>
      <c r="T164" s="210"/>
      <c r="W164" s="86"/>
      <c r="Z164" s="86"/>
    </row>
    <row r="165" spans="2:30">
      <c r="B165" t="str">
        <f>Gewas05960616263[[#Headers],[Miscanthus]]</f>
        <v>Miscanthus</v>
      </c>
      <c r="C165" s="210" t="s">
        <v>532</v>
      </c>
      <c r="D165" s="155">
        <f>D266</f>
        <v>0</v>
      </c>
      <c r="E165" s="155">
        <f t="shared" ref="E165:G165" si="39">E266</f>
        <v>0</v>
      </c>
      <c r="F165" s="155">
        <f t="shared" si="39"/>
        <v>0</v>
      </c>
      <c r="G165" s="155">
        <f t="shared" si="39"/>
        <v>0</v>
      </c>
      <c r="H165" s="210"/>
      <c r="I165" s="210"/>
      <c r="J165" s="210"/>
      <c r="L165"/>
      <c r="M165" s="210"/>
      <c r="N165" s="210"/>
      <c r="O165" s="210"/>
      <c r="P165" s="210"/>
      <c r="Q165" s="210"/>
      <c r="R165" s="210"/>
      <c r="S165" s="210"/>
      <c r="T165" s="210"/>
      <c r="W165" s="86"/>
      <c r="Z165" s="86"/>
    </row>
    <row r="166" spans="2:30">
      <c r="B166" t="str">
        <f>Gewas0596061626364[[#Headers],[Gewas 7]]</f>
        <v>Gewas 7</v>
      </c>
      <c r="C166" s="210" t="s">
        <v>532</v>
      </c>
      <c r="D166" s="155">
        <f>D280</f>
        <v>0</v>
      </c>
      <c r="E166" s="155">
        <f t="shared" ref="E166:G166" si="40">E280</f>
        <v>0</v>
      </c>
      <c r="F166" s="155">
        <f t="shared" si="40"/>
        <v>0</v>
      </c>
      <c r="G166" s="155">
        <f t="shared" si="40"/>
        <v>0</v>
      </c>
      <c r="H166" s="210"/>
      <c r="I166" s="210"/>
      <c r="J166" s="210"/>
      <c r="L166"/>
      <c r="M166" s="210"/>
      <c r="N166" s="210"/>
      <c r="O166" s="210"/>
      <c r="P166" s="210"/>
      <c r="Q166" s="210"/>
      <c r="R166" s="210"/>
      <c r="S166" s="210"/>
      <c r="T166" s="210"/>
      <c r="U166" s="86"/>
      <c r="X166" s="86"/>
    </row>
    <row r="168" spans="2:30">
      <c r="B168" s="211" t="s">
        <v>534</v>
      </c>
      <c r="C168" s="22" t="s">
        <v>297</v>
      </c>
      <c r="D168" s="22" t="s">
        <v>114</v>
      </c>
      <c r="E168" s="22" t="s">
        <v>129</v>
      </c>
      <c r="F168" s="22" t="s">
        <v>79</v>
      </c>
      <c r="G168" s="22" t="s">
        <v>126</v>
      </c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Z168" s="86"/>
    </row>
    <row r="169" spans="2:30" s="14" customFormat="1">
      <c r="B169" t="str">
        <f>Gewas0[[#Headers],[Grote lisdodde]]</f>
        <v>Grote lisdodde</v>
      </c>
      <c r="C169" s="210" t="s">
        <v>144</v>
      </c>
      <c r="D169" s="38">
        <f>D198</f>
        <v>0</v>
      </c>
      <c r="E169" s="38">
        <f t="shared" ref="E169:G169" si="41">E198</f>
        <v>0.7</v>
      </c>
      <c r="F169" s="38">
        <f t="shared" si="41"/>
        <v>0.6</v>
      </c>
      <c r="G169" s="38">
        <f t="shared" si="41"/>
        <v>0.5</v>
      </c>
      <c r="H169" s="210"/>
      <c r="I169" s="210"/>
      <c r="J169" s="210"/>
      <c r="K169"/>
      <c r="L169"/>
      <c r="M169" s="210"/>
      <c r="N169" s="210"/>
      <c r="O169" s="210"/>
      <c r="P169" s="210"/>
      <c r="Q169" s="210"/>
      <c r="R169" s="210"/>
      <c r="S169" s="210"/>
      <c r="T169" s="210"/>
      <c r="U169"/>
      <c r="V169"/>
      <c r="W169" s="86"/>
      <c r="X169"/>
      <c r="Y169"/>
      <c r="Z169" s="86"/>
      <c r="AA169"/>
      <c r="AB169"/>
      <c r="AC169"/>
      <c r="AD169"/>
    </row>
    <row r="170" spans="2:30">
      <c r="B170" t="str">
        <f>Gewas059[[#Headers],[Kleine lisdodde]]</f>
        <v>Kleine lisdodde</v>
      </c>
      <c r="C170" s="210" t="s">
        <v>144</v>
      </c>
      <c r="D170" s="38">
        <f>D212</f>
        <v>0</v>
      </c>
      <c r="E170" s="38">
        <f t="shared" ref="E170:G170" si="42">E212</f>
        <v>0.7</v>
      </c>
      <c r="F170" s="38">
        <f t="shared" si="42"/>
        <v>0.6</v>
      </c>
      <c r="G170" s="38">
        <f t="shared" si="42"/>
        <v>0.5</v>
      </c>
      <c r="H170" s="210"/>
      <c r="I170" s="210"/>
      <c r="J170" s="210"/>
      <c r="L170"/>
      <c r="M170" s="210"/>
      <c r="N170" s="210"/>
      <c r="O170" s="210"/>
      <c r="P170" s="210"/>
      <c r="Q170" s="210"/>
      <c r="R170" s="210"/>
      <c r="S170" s="210"/>
      <c r="T170" s="210"/>
      <c r="W170" s="86"/>
      <c r="Z170" s="86"/>
    </row>
    <row r="171" spans="2:30">
      <c r="B171" t="str">
        <f>Gewas05960[[#Headers],[Hennep]]</f>
        <v>Hennep</v>
      </c>
      <c r="C171" s="210" t="s">
        <v>144</v>
      </c>
      <c r="D171" s="38">
        <f>D226</f>
        <v>0</v>
      </c>
      <c r="E171" s="38">
        <f t="shared" ref="E171:G171" si="43">E226</f>
        <v>0.9</v>
      </c>
      <c r="F171" s="38">
        <f t="shared" si="43"/>
        <v>0.8</v>
      </c>
      <c r="G171" s="38">
        <f t="shared" si="43"/>
        <v>0.7</v>
      </c>
      <c r="H171" s="210"/>
      <c r="I171" s="210"/>
      <c r="J171" s="210"/>
      <c r="L171"/>
      <c r="M171" s="210"/>
      <c r="N171" s="210"/>
      <c r="O171" s="210"/>
      <c r="P171" s="210"/>
      <c r="Q171" s="210"/>
      <c r="R171" s="210"/>
      <c r="S171" s="210"/>
      <c r="T171" s="210"/>
      <c r="W171" s="86"/>
      <c r="Z171" s="86"/>
    </row>
    <row r="172" spans="2:30">
      <c r="B172" t="str">
        <f>Gewas0596061[[#Headers],[Riet]]</f>
        <v>Riet</v>
      </c>
      <c r="C172" s="210" t="s">
        <v>144</v>
      </c>
      <c r="D172" s="38">
        <f>D240</f>
        <v>0</v>
      </c>
      <c r="E172" s="38">
        <f t="shared" ref="E172:G172" si="44">E240</f>
        <v>0.9</v>
      </c>
      <c r="F172" s="38">
        <f t="shared" si="44"/>
        <v>0.8</v>
      </c>
      <c r="G172" s="38">
        <f t="shared" si="44"/>
        <v>0.7</v>
      </c>
      <c r="H172" s="210"/>
      <c r="I172" s="210"/>
      <c r="J172" s="210"/>
      <c r="L172"/>
      <c r="M172" s="210"/>
      <c r="N172" s="210"/>
      <c r="O172" s="210"/>
      <c r="P172" s="210"/>
      <c r="Q172" s="210"/>
      <c r="R172" s="210"/>
      <c r="S172" s="210"/>
      <c r="T172" s="210"/>
      <c r="W172" s="86"/>
      <c r="Z172" s="86"/>
    </row>
    <row r="173" spans="2:30">
      <c r="B173" t="str">
        <f>Gewas059606162[[#Headers],[Silphie]]</f>
        <v>Silphie</v>
      </c>
      <c r="C173" s="210" t="s">
        <v>144</v>
      </c>
      <c r="D173" s="38">
        <f>D254</f>
        <v>0</v>
      </c>
      <c r="E173" s="38">
        <f t="shared" ref="E173:G173" si="45">E254</f>
        <v>0.65</v>
      </c>
      <c r="F173" s="38">
        <f t="shared" si="45"/>
        <v>0.6</v>
      </c>
      <c r="G173" s="38">
        <f t="shared" si="45"/>
        <v>0.55000000000000004</v>
      </c>
      <c r="H173" s="210"/>
      <c r="I173" s="210"/>
      <c r="J173" s="210"/>
      <c r="L173"/>
      <c r="M173" s="210"/>
      <c r="N173" s="210"/>
      <c r="O173" s="210"/>
      <c r="P173" s="210"/>
      <c r="Q173" s="210"/>
      <c r="R173" s="210"/>
      <c r="S173" s="210"/>
      <c r="T173" s="210"/>
      <c r="W173" s="86"/>
      <c r="Z173" s="86"/>
    </row>
    <row r="174" spans="2:30">
      <c r="B174" t="str">
        <f>Gewas05960616263[[#Headers],[Miscanthus]]</f>
        <v>Miscanthus</v>
      </c>
      <c r="C174" s="210" t="s">
        <v>144</v>
      </c>
      <c r="D174" s="38">
        <f>D268</f>
        <v>0</v>
      </c>
      <c r="E174" s="38">
        <f t="shared" ref="E174:G174" si="46">E268</f>
        <v>0.9</v>
      </c>
      <c r="F174" s="38">
        <f t="shared" si="46"/>
        <v>0.8</v>
      </c>
      <c r="G174" s="38">
        <f t="shared" si="46"/>
        <v>0.7</v>
      </c>
      <c r="H174" s="210"/>
      <c r="I174" s="210"/>
      <c r="J174" s="210"/>
      <c r="L174"/>
      <c r="M174" s="210"/>
      <c r="N174" s="210"/>
      <c r="O174" s="210"/>
      <c r="P174" s="210"/>
      <c r="Q174" s="210"/>
      <c r="R174" s="210"/>
      <c r="S174" s="210"/>
      <c r="T174" s="210"/>
      <c r="W174" s="86"/>
      <c r="Z174" s="86"/>
    </row>
    <row r="175" spans="2:30">
      <c r="B175" t="str">
        <f>Gewas0596061626364[[#Headers],[Gewas 7]]</f>
        <v>Gewas 7</v>
      </c>
      <c r="C175" s="210" t="s">
        <v>144</v>
      </c>
      <c r="D175" s="38">
        <f>D282</f>
        <v>0</v>
      </c>
      <c r="E175" s="38">
        <f t="shared" ref="E175:G175" si="47">E282</f>
        <v>0</v>
      </c>
      <c r="F175" s="38">
        <f t="shared" si="47"/>
        <v>0</v>
      </c>
      <c r="G175" s="38">
        <f t="shared" si="47"/>
        <v>0</v>
      </c>
      <c r="H175" s="210"/>
      <c r="I175" s="210"/>
      <c r="J175" s="210"/>
      <c r="L175"/>
      <c r="M175" s="210"/>
      <c r="N175" s="210"/>
      <c r="O175" s="210"/>
      <c r="P175" s="210"/>
      <c r="Q175" s="210"/>
      <c r="R175" s="210"/>
      <c r="S175" s="210"/>
      <c r="T175" s="210"/>
      <c r="U175" s="86"/>
      <c r="X175" s="86"/>
    </row>
    <row r="177" spans="2:30">
      <c r="B177" s="211" t="s">
        <v>535</v>
      </c>
      <c r="C177" s="22" t="s">
        <v>297</v>
      </c>
      <c r="D177" s="22" t="s">
        <v>114</v>
      </c>
      <c r="E177" s="22" t="s">
        <v>129</v>
      </c>
      <c r="F177" s="22" t="s">
        <v>79</v>
      </c>
      <c r="G177" s="22" t="s">
        <v>126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Z177" s="86"/>
    </row>
    <row r="178" spans="2:30" s="14" customFormat="1">
      <c r="B178" t="str">
        <f>Gewas0[[#Headers],[Grote lisdodde]]</f>
        <v>Grote lisdodde</v>
      </c>
      <c r="C178" s="210" t="s">
        <v>144</v>
      </c>
      <c r="D178" s="38">
        <f>D199</f>
        <v>0</v>
      </c>
      <c r="E178" s="38">
        <f t="shared" ref="E178:G178" si="48">E199</f>
        <v>0.7</v>
      </c>
      <c r="F178" s="38">
        <f t="shared" si="48"/>
        <v>0.6</v>
      </c>
      <c r="G178" s="38">
        <f t="shared" si="48"/>
        <v>0.5</v>
      </c>
      <c r="H178" s="210"/>
      <c r="I178" s="210"/>
      <c r="J178" s="210"/>
      <c r="K178"/>
      <c r="L178"/>
      <c r="M178" s="210"/>
      <c r="N178" s="210"/>
      <c r="O178" s="210"/>
      <c r="P178" s="210"/>
      <c r="Q178" s="210"/>
      <c r="R178" s="210"/>
      <c r="S178" s="210"/>
      <c r="T178" s="210"/>
      <c r="U178"/>
      <c r="V178"/>
      <c r="W178" s="86"/>
      <c r="X178"/>
      <c r="Y178"/>
      <c r="Z178" s="86"/>
      <c r="AA178"/>
      <c r="AB178"/>
      <c r="AC178"/>
      <c r="AD178"/>
    </row>
    <row r="179" spans="2:30">
      <c r="B179" t="str">
        <f>Gewas059[[#Headers],[Kleine lisdodde]]</f>
        <v>Kleine lisdodde</v>
      </c>
      <c r="C179" s="210" t="s">
        <v>144</v>
      </c>
      <c r="D179" s="38">
        <f>D213</f>
        <v>0</v>
      </c>
      <c r="E179" s="38">
        <f t="shared" ref="E179:G179" si="49">E213</f>
        <v>0.7</v>
      </c>
      <c r="F179" s="38">
        <f t="shared" si="49"/>
        <v>0.6</v>
      </c>
      <c r="G179" s="38">
        <f t="shared" si="49"/>
        <v>0.5</v>
      </c>
      <c r="H179" s="210"/>
      <c r="I179" s="210"/>
      <c r="J179" s="210"/>
      <c r="L179"/>
      <c r="M179" s="210"/>
      <c r="N179" s="210"/>
      <c r="O179" s="210"/>
      <c r="P179" s="210"/>
      <c r="Q179" s="210"/>
      <c r="R179" s="210"/>
      <c r="S179" s="210"/>
      <c r="T179" s="210"/>
      <c r="W179" s="86"/>
      <c r="Z179" s="86"/>
    </row>
    <row r="180" spans="2:30">
      <c r="B180" t="str">
        <f>Gewas05960[[#Headers],[Hennep]]</f>
        <v>Hennep</v>
      </c>
      <c r="C180" s="210" t="s">
        <v>144</v>
      </c>
      <c r="D180" s="38">
        <f>D227</f>
        <v>0</v>
      </c>
      <c r="E180" s="38">
        <f t="shared" ref="E180:G180" si="50">E227</f>
        <v>0</v>
      </c>
      <c r="F180" s="38">
        <f t="shared" si="50"/>
        <v>0</v>
      </c>
      <c r="G180" s="38">
        <f t="shared" si="50"/>
        <v>0</v>
      </c>
      <c r="H180" s="210"/>
      <c r="I180" s="210"/>
      <c r="J180" s="210"/>
      <c r="L180"/>
      <c r="M180" s="210"/>
      <c r="N180" s="210"/>
      <c r="O180" s="210"/>
      <c r="P180" s="210"/>
      <c r="Q180" s="210"/>
      <c r="R180" s="210"/>
      <c r="S180" s="210"/>
      <c r="T180" s="210"/>
      <c r="W180" s="86"/>
      <c r="Z180" s="86"/>
    </row>
    <row r="181" spans="2:30">
      <c r="B181" t="str">
        <f>Gewas0596061[[#Headers],[Riet]]</f>
        <v>Riet</v>
      </c>
      <c r="C181" s="210" t="s">
        <v>144</v>
      </c>
      <c r="D181" s="38">
        <f>D241</f>
        <v>0</v>
      </c>
      <c r="E181" s="38">
        <f t="shared" ref="E181:G181" si="51">E241</f>
        <v>0.9</v>
      </c>
      <c r="F181" s="38">
        <f t="shared" si="51"/>
        <v>0.8</v>
      </c>
      <c r="G181" s="38">
        <f t="shared" si="51"/>
        <v>0.7</v>
      </c>
      <c r="H181" s="210"/>
      <c r="I181" s="210"/>
      <c r="J181" s="210"/>
      <c r="L181"/>
      <c r="M181" s="210"/>
      <c r="N181" s="210"/>
      <c r="O181" s="210"/>
      <c r="P181" s="210"/>
      <c r="Q181" s="210"/>
      <c r="R181" s="210"/>
      <c r="S181" s="210"/>
      <c r="T181" s="210"/>
      <c r="W181" s="86"/>
      <c r="Z181" s="86"/>
    </row>
    <row r="182" spans="2:30">
      <c r="B182" t="str">
        <f>Gewas059606162[[#Headers],[Silphie]]</f>
        <v>Silphie</v>
      </c>
      <c r="C182" s="210" t="s">
        <v>144</v>
      </c>
      <c r="D182" s="38">
        <f>D255</f>
        <v>0</v>
      </c>
      <c r="E182" s="38">
        <f t="shared" ref="E182:G182" si="52">E255</f>
        <v>0</v>
      </c>
      <c r="F182" s="38">
        <f t="shared" si="52"/>
        <v>0</v>
      </c>
      <c r="G182" s="38">
        <f t="shared" si="52"/>
        <v>0</v>
      </c>
      <c r="H182" s="210"/>
      <c r="I182" s="210"/>
      <c r="J182" s="210"/>
      <c r="L182"/>
      <c r="M182" s="210"/>
      <c r="N182" s="210"/>
      <c r="O182" s="210"/>
      <c r="P182" s="210"/>
      <c r="Q182" s="210"/>
      <c r="R182" s="210"/>
      <c r="S182" s="210"/>
      <c r="T182" s="210"/>
      <c r="W182" s="86"/>
      <c r="Z182" s="86"/>
    </row>
    <row r="183" spans="2:30">
      <c r="B183" t="str">
        <f>Gewas05960616263[[#Headers],[Miscanthus]]</f>
        <v>Miscanthus</v>
      </c>
      <c r="C183" s="210" t="s">
        <v>144</v>
      </c>
      <c r="D183" s="38">
        <f>D269</f>
        <v>0</v>
      </c>
      <c r="E183" s="38">
        <f t="shared" ref="E183:G183" si="53">E269</f>
        <v>0</v>
      </c>
      <c r="F183" s="38">
        <f t="shared" si="53"/>
        <v>0</v>
      </c>
      <c r="G183" s="38">
        <f t="shared" si="53"/>
        <v>0</v>
      </c>
      <c r="H183" s="210"/>
      <c r="I183" s="210"/>
      <c r="J183" s="210"/>
      <c r="L183"/>
      <c r="M183" s="210"/>
      <c r="N183" s="210"/>
      <c r="O183" s="210"/>
      <c r="P183" s="210"/>
      <c r="Q183" s="210"/>
      <c r="R183" s="210"/>
      <c r="S183" s="210"/>
      <c r="T183" s="210"/>
      <c r="W183" s="86"/>
      <c r="Z183" s="86"/>
    </row>
    <row r="184" spans="2:30">
      <c r="B184" t="str">
        <f>Gewas0596061626364[[#Headers],[Gewas 7]]</f>
        <v>Gewas 7</v>
      </c>
      <c r="C184" s="210" t="s">
        <v>144</v>
      </c>
      <c r="D184" s="38">
        <f>D283</f>
        <v>0</v>
      </c>
      <c r="E184" s="38">
        <f t="shared" ref="E184:G184" si="54">E283</f>
        <v>0</v>
      </c>
      <c r="F184" s="38">
        <f t="shared" si="54"/>
        <v>0</v>
      </c>
      <c r="G184" s="38">
        <f t="shared" si="54"/>
        <v>0</v>
      </c>
      <c r="H184" s="210"/>
      <c r="I184" s="210"/>
      <c r="J184" s="210"/>
      <c r="L184"/>
      <c r="M184" s="210"/>
      <c r="N184" s="210"/>
      <c r="O184" s="210"/>
      <c r="P184" s="210"/>
      <c r="Q184" s="210"/>
      <c r="R184" s="210"/>
      <c r="S184" s="210"/>
      <c r="T184" s="210"/>
      <c r="U184" s="86"/>
      <c r="X184" s="86"/>
    </row>
    <row r="187" spans="2:30">
      <c r="B187" s="28" t="s">
        <v>78</v>
      </c>
      <c r="C187" s="22" t="s">
        <v>297</v>
      </c>
      <c r="D187" s="22" t="s">
        <v>114</v>
      </c>
      <c r="E187" s="22" t="s">
        <v>129</v>
      </c>
      <c r="F187" s="22" t="s">
        <v>79</v>
      </c>
      <c r="G187" s="22" t="s">
        <v>126</v>
      </c>
      <c r="H187" s="29" t="s">
        <v>293</v>
      </c>
      <c r="I187" s="29" t="s">
        <v>372</v>
      </c>
      <c r="J187" s="30" t="s">
        <v>373</v>
      </c>
      <c r="K187" s="29" t="s">
        <v>281</v>
      </c>
      <c r="L187" s="30" t="s">
        <v>282</v>
      </c>
      <c r="M187" s="29" t="s">
        <v>283</v>
      </c>
      <c r="N187" s="29" t="s">
        <v>284</v>
      </c>
      <c r="O187" s="30" t="s">
        <v>285</v>
      </c>
      <c r="P187" s="29" t="s">
        <v>286</v>
      </c>
      <c r="Q187" s="29" t="s">
        <v>287</v>
      </c>
      <c r="R187" s="30" t="s">
        <v>288</v>
      </c>
      <c r="S187" s="31" t="s">
        <v>289</v>
      </c>
      <c r="T187" s="84" t="s">
        <v>294</v>
      </c>
      <c r="U187" s="84" t="s">
        <v>374</v>
      </c>
      <c r="V187" s="84" t="s">
        <v>296</v>
      </c>
    </row>
    <row r="188" spans="2:30">
      <c r="B188" s="22" t="s">
        <v>536</v>
      </c>
      <c r="C188" s="22"/>
      <c r="D188" s="208"/>
      <c r="E188" s="208"/>
      <c r="F188" s="208"/>
      <c r="G188" s="208"/>
      <c r="H188" s="22"/>
      <c r="I188" s="22"/>
      <c r="J188" s="207"/>
      <c r="K188" s="22"/>
      <c r="L188" s="209"/>
      <c r="M188" s="22"/>
      <c r="N188" s="22"/>
      <c r="O188" s="209"/>
      <c r="P188" s="22"/>
      <c r="Q188" s="22"/>
      <c r="R188" s="209"/>
      <c r="S188" s="22"/>
      <c r="T188" s="22"/>
      <c r="U188" s="22"/>
      <c r="V188" s="22"/>
    </row>
    <row r="189" spans="2:30">
      <c r="B189" s="14" t="s">
        <v>133</v>
      </c>
      <c r="C189" t="s">
        <v>88</v>
      </c>
      <c r="D189" s="16">
        <v>0</v>
      </c>
      <c r="E189" s="12">
        <v>325</v>
      </c>
      <c r="F189" s="12">
        <v>300</v>
      </c>
      <c r="G189" s="12">
        <v>275</v>
      </c>
      <c r="I189" t="s">
        <v>451</v>
      </c>
      <c r="J189" s="34">
        <v>1</v>
      </c>
      <c r="K189" t="s">
        <v>537</v>
      </c>
      <c r="M189" t="s">
        <v>538</v>
      </c>
      <c r="N189" s="22"/>
      <c r="O189" s="209"/>
      <c r="P189" s="22"/>
      <c r="Q189" s="22"/>
      <c r="R189" s="209"/>
      <c r="S189" s="22"/>
      <c r="T189" s="22"/>
      <c r="U189" s="22"/>
      <c r="V189" s="22"/>
    </row>
    <row r="190" spans="2:30">
      <c r="B190" s="14" t="s">
        <v>134</v>
      </c>
      <c r="C190" t="s">
        <v>88</v>
      </c>
      <c r="D190" s="16">
        <v>0</v>
      </c>
      <c r="E190" s="12">
        <v>9000</v>
      </c>
      <c r="F190" s="12">
        <v>6000</v>
      </c>
      <c r="G190" s="12">
        <v>3000</v>
      </c>
      <c r="H190" t="s">
        <v>539</v>
      </c>
      <c r="I190" t="s">
        <v>451</v>
      </c>
      <c r="J190" s="34">
        <v>2</v>
      </c>
      <c r="K190" t="s">
        <v>394</v>
      </c>
      <c r="L190" s="86" t="s">
        <v>540</v>
      </c>
      <c r="M190" t="s">
        <v>396</v>
      </c>
      <c r="N190" t="s">
        <v>397</v>
      </c>
      <c r="O190" s="86" t="s">
        <v>541</v>
      </c>
      <c r="P190" t="s">
        <v>396</v>
      </c>
    </row>
    <row r="191" spans="2:30">
      <c r="B191" s="22" t="s">
        <v>542</v>
      </c>
      <c r="C191" s="22"/>
      <c r="D191" s="208"/>
      <c r="E191" s="208"/>
      <c r="F191" s="208"/>
      <c r="G191" s="208"/>
      <c r="H191" s="22"/>
      <c r="I191" s="22"/>
      <c r="J191" s="207"/>
      <c r="K191" s="22"/>
      <c r="L191" s="209"/>
      <c r="M191" s="22"/>
      <c r="N191" s="22"/>
      <c r="O191" s="209"/>
      <c r="P191" s="22"/>
      <c r="Q191" s="22"/>
      <c r="R191" s="209"/>
      <c r="S191" s="22"/>
      <c r="T191" s="22"/>
      <c r="U191" s="22"/>
      <c r="V191" s="22"/>
    </row>
    <row r="192" spans="2:30">
      <c r="B192" t="s">
        <v>148</v>
      </c>
      <c r="C192" t="s">
        <v>142</v>
      </c>
      <c r="D192" s="25">
        <v>0</v>
      </c>
      <c r="E192" s="32">
        <v>15</v>
      </c>
      <c r="F192" s="32">
        <v>12</v>
      </c>
      <c r="G192" s="32">
        <v>9</v>
      </c>
      <c r="H192" t="s">
        <v>543</v>
      </c>
      <c r="I192" t="s">
        <v>451</v>
      </c>
      <c r="J192" s="34">
        <v>0</v>
      </c>
      <c r="K192" t="s">
        <v>394</v>
      </c>
      <c r="L192" s="101" t="s">
        <v>544</v>
      </c>
      <c r="M192" t="s">
        <v>396</v>
      </c>
      <c r="N192" t="s">
        <v>397</v>
      </c>
      <c r="O192" s="101" t="s">
        <v>544</v>
      </c>
      <c r="P192" t="s">
        <v>396</v>
      </c>
      <c r="Q192" t="s">
        <v>545</v>
      </c>
      <c r="R192" s="101" t="s">
        <v>546</v>
      </c>
      <c r="S192" t="s">
        <v>547</v>
      </c>
    </row>
    <row r="193" spans="2:22">
      <c r="B193" t="s">
        <v>548</v>
      </c>
      <c r="C193" t="s">
        <v>142</v>
      </c>
      <c r="D193" s="25">
        <v>0</v>
      </c>
      <c r="E193" s="25">
        <v>3</v>
      </c>
      <c r="F193" s="25">
        <v>2</v>
      </c>
      <c r="G193" s="25">
        <v>1.2</v>
      </c>
      <c r="H193" t="s">
        <v>549</v>
      </c>
      <c r="I193" t="s">
        <v>451</v>
      </c>
      <c r="J193" s="34">
        <v>2</v>
      </c>
      <c r="K193" t="s">
        <v>394</v>
      </c>
    </row>
    <row r="194" spans="2:22">
      <c r="B194" s="1" t="s">
        <v>145</v>
      </c>
      <c r="D194" s="25"/>
      <c r="E194" s="25"/>
      <c r="F194" s="25"/>
      <c r="G194" s="25"/>
      <c r="J194" s="34"/>
    </row>
    <row r="195" spans="2:22">
      <c r="B195" t="s">
        <v>148</v>
      </c>
      <c r="C195" t="s">
        <v>532</v>
      </c>
      <c r="D195" s="12">
        <v>0</v>
      </c>
      <c r="E195" s="12">
        <v>300</v>
      </c>
      <c r="F195" s="12">
        <v>200</v>
      </c>
      <c r="G195" s="12">
        <v>100</v>
      </c>
      <c r="H195" s="14"/>
      <c r="I195" s="14" t="s">
        <v>400</v>
      </c>
      <c r="J195" s="34">
        <v>2</v>
      </c>
      <c r="K195" t="s">
        <v>550</v>
      </c>
      <c r="L195" s="93">
        <v>200</v>
      </c>
      <c r="M195" t="s">
        <v>551</v>
      </c>
      <c r="N195" s="14"/>
      <c r="O195" s="93"/>
      <c r="P195" s="14"/>
      <c r="Q195" s="14"/>
      <c r="R195" s="93"/>
      <c r="S195" s="14"/>
    </row>
    <row r="196" spans="2:22">
      <c r="B196" t="s">
        <v>548</v>
      </c>
      <c r="C196" t="s">
        <v>532</v>
      </c>
      <c r="D196" s="12">
        <v>0</v>
      </c>
      <c r="E196" s="12">
        <v>1790</v>
      </c>
      <c r="F196" s="12">
        <v>1290</v>
      </c>
      <c r="G196" s="12">
        <v>800</v>
      </c>
      <c r="H196" s="14"/>
      <c r="I196" s="14" t="s">
        <v>552</v>
      </c>
      <c r="J196" s="34">
        <v>1</v>
      </c>
      <c r="K196" s="102" t="s">
        <v>688</v>
      </c>
      <c r="L196" s="93" t="s">
        <v>553</v>
      </c>
      <c r="M196" s="14" t="s">
        <v>338</v>
      </c>
      <c r="N196" s="14"/>
    </row>
    <row r="197" spans="2:22">
      <c r="B197" s="1" t="s">
        <v>554</v>
      </c>
      <c r="D197" s="25"/>
      <c r="E197" s="25"/>
      <c r="F197" s="25"/>
      <c r="G197" s="25"/>
      <c r="J197" s="34"/>
    </row>
    <row r="198" spans="2:22">
      <c r="B198" t="s">
        <v>148</v>
      </c>
      <c r="C198" t="s">
        <v>144</v>
      </c>
      <c r="D198" s="25">
        <v>0</v>
      </c>
      <c r="E198" s="23">
        <v>0.7</v>
      </c>
      <c r="F198" s="23">
        <v>0.6</v>
      </c>
      <c r="G198" s="23">
        <v>0.5</v>
      </c>
      <c r="I198" t="s">
        <v>451</v>
      </c>
      <c r="J198" s="34">
        <v>1</v>
      </c>
      <c r="K198" t="s">
        <v>394</v>
      </c>
      <c r="L198" s="101" t="s">
        <v>555</v>
      </c>
      <c r="M198" t="s">
        <v>396</v>
      </c>
      <c r="N198" t="s">
        <v>397</v>
      </c>
      <c r="O198" s="101" t="s">
        <v>555</v>
      </c>
      <c r="P198" t="s">
        <v>396</v>
      </c>
      <c r="Q198" t="s">
        <v>353</v>
      </c>
      <c r="R198" s="86" t="s">
        <v>556</v>
      </c>
      <c r="S198" s="14" t="s">
        <v>352</v>
      </c>
    </row>
    <row r="199" spans="2:22">
      <c r="B199" t="s">
        <v>548</v>
      </c>
      <c r="C199" t="s">
        <v>144</v>
      </c>
      <c r="D199" s="25">
        <v>0</v>
      </c>
      <c r="E199" s="23">
        <v>0.7</v>
      </c>
      <c r="F199" s="23">
        <v>0.6</v>
      </c>
      <c r="G199" s="23">
        <v>0.5</v>
      </c>
      <c r="I199" t="s">
        <v>451</v>
      </c>
      <c r="J199" s="34">
        <v>1</v>
      </c>
      <c r="K199" t="s">
        <v>394</v>
      </c>
      <c r="L199" s="101" t="s">
        <v>555</v>
      </c>
      <c r="M199" t="s">
        <v>396</v>
      </c>
      <c r="N199" t="s">
        <v>397</v>
      </c>
      <c r="O199" s="101" t="s">
        <v>555</v>
      </c>
      <c r="P199" t="s">
        <v>396</v>
      </c>
      <c r="Q199" t="s">
        <v>353</v>
      </c>
      <c r="R199" s="86" t="s">
        <v>556</v>
      </c>
      <c r="S199" s="14" t="s">
        <v>352</v>
      </c>
    </row>
    <row r="201" spans="2:22">
      <c r="B201" s="28" t="s">
        <v>208</v>
      </c>
      <c r="C201" s="22" t="s">
        <v>297</v>
      </c>
      <c r="D201" s="22" t="s">
        <v>114</v>
      </c>
      <c r="E201" s="22" t="s">
        <v>129</v>
      </c>
      <c r="F201" s="22" t="s">
        <v>79</v>
      </c>
      <c r="G201" s="22" t="s">
        <v>126</v>
      </c>
      <c r="H201" s="29" t="s">
        <v>293</v>
      </c>
      <c r="I201" s="29" t="s">
        <v>372</v>
      </c>
      <c r="J201" s="30" t="s">
        <v>373</v>
      </c>
      <c r="K201" s="29" t="s">
        <v>281</v>
      </c>
      <c r="L201" s="30" t="s">
        <v>282</v>
      </c>
      <c r="M201" s="29" t="s">
        <v>283</v>
      </c>
      <c r="N201" s="29" t="s">
        <v>284</v>
      </c>
      <c r="O201" s="30" t="s">
        <v>285</v>
      </c>
      <c r="P201" s="29" t="s">
        <v>286</v>
      </c>
      <c r="Q201" s="29" t="s">
        <v>287</v>
      </c>
      <c r="R201" s="30" t="s">
        <v>288</v>
      </c>
      <c r="S201" s="31" t="s">
        <v>289</v>
      </c>
      <c r="T201" s="84" t="s">
        <v>294</v>
      </c>
      <c r="U201" s="84" t="s">
        <v>374</v>
      </c>
      <c r="V201" s="84" t="s">
        <v>296</v>
      </c>
    </row>
    <row r="202" spans="2:22">
      <c r="B202" s="22" t="s">
        <v>536</v>
      </c>
      <c r="C202" s="22"/>
      <c r="D202" s="208"/>
      <c r="E202" s="208"/>
      <c r="F202" s="208"/>
      <c r="G202" s="208"/>
      <c r="H202" s="22"/>
      <c r="I202" s="22"/>
      <c r="J202" s="207"/>
      <c r="K202" s="22"/>
      <c r="L202" s="209"/>
      <c r="M202" s="22"/>
      <c r="N202" s="22"/>
      <c r="O202" s="209"/>
      <c r="P202" s="22"/>
      <c r="Q202" s="22"/>
      <c r="R202" s="209"/>
      <c r="S202" s="22"/>
      <c r="T202" s="22"/>
      <c r="U202" s="22"/>
      <c r="V202" s="22"/>
    </row>
    <row r="203" spans="2:22">
      <c r="B203" s="14" t="s">
        <v>133</v>
      </c>
      <c r="C203" t="s">
        <v>88</v>
      </c>
      <c r="D203" s="16">
        <v>0</v>
      </c>
      <c r="E203" s="12">
        <v>325</v>
      </c>
      <c r="F203" s="12">
        <v>300</v>
      </c>
      <c r="G203" s="12">
        <v>275</v>
      </c>
      <c r="I203" t="s">
        <v>451</v>
      </c>
      <c r="J203" s="34">
        <v>1</v>
      </c>
      <c r="K203" t="s">
        <v>537</v>
      </c>
      <c r="M203" t="s">
        <v>538</v>
      </c>
      <c r="N203" s="22"/>
      <c r="O203" s="209"/>
      <c r="P203" s="22"/>
      <c r="Q203" s="22"/>
      <c r="R203" s="209"/>
      <c r="S203" s="22"/>
      <c r="T203" s="22"/>
      <c r="U203" s="22"/>
      <c r="V203" s="22"/>
    </row>
    <row r="204" spans="2:22">
      <c r="B204" s="14" t="s">
        <v>134</v>
      </c>
      <c r="C204" t="s">
        <v>88</v>
      </c>
      <c r="D204" s="16">
        <v>0</v>
      </c>
      <c r="E204" s="12">
        <v>9000</v>
      </c>
      <c r="F204" s="12">
        <v>6000</v>
      </c>
      <c r="G204" s="12">
        <v>3000</v>
      </c>
      <c r="H204" t="s">
        <v>539</v>
      </c>
      <c r="I204" t="s">
        <v>451</v>
      </c>
      <c r="J204" s="34">
        <v>2</v>
      </c>
      <c r="K204" t="s">
        <v>394</v>
      </c>
      <c r="L204" s="86" t="s">
        <v>540</v>
      </c>
      <c r="M204" t="s">
        <v>396</v>
      </c>
      <c r="N204" t="s">
        <v>397</v>
      </c>
      <c r="O204" s="86" t="s">
        <v>541</v>
      </c>
      <c r="P204" t="s">
        <v>396</v>
      </c>
    </row>
    <row r="205" spans="2:22">
      <c r="B205" s="22" t="s">
        <v>542</v>
      </c>
      <c r="C205" s="22"/>
      <c r="D205" s="208"/>
      <c r="E205" s="208"/>
      <c r="F205" s="208"/>
      <c r="G205" s="208"/>
      <c r="H205" s="22"/>
      <c r="I205" s="22"/>
      <c r="J205" s="207"/>
      <c r="K205" s="22"/>
      <c r="L205" s="209"/>
      <c r="M205" s="22"/>
      <c r="N205" s="22"/>
      <c r="O205" s="209"/>
      <c r="P205" s="22"/>
      <c r="Q205" s="22"/>
      <c r="R205" s="209"/>
      <c r="S205" s="22"/>
      <c r="T205" s="22"/>
      <c r="U205" s="22"/>
      <c r="V205" s="22"/>
    </row>
    <row r="206" spans="2:22">
      <c r="B206" t="s">
        <v>148</v>
      </c>
      <c r="C206" t="s">
        <v>142</v>
      </c>
      <c r="D206" s="25">
        <v>0</v>
      </c>
      <c r="E206" s="32">
        <v>15</v>
      </c>
      <c r="F206" s="32">
        <v>12</v>
      </c>
      <c r="G206" s="32">
        <v>9</v>
      </c>
      <c r="H206" t="s">
        <v>543</v>
      </c>
      <c r="I206" t="s">
        <v>451</v>
      </c>
      <c r="J206" s="34">
        <v>0</v>
      </c>
      <c r="K206" t="s">
        <v>394</v>
      </c>
      <c r="L206" s="101" t="s">
        <v>544</v>
      </c>
      <c r="M206" t="s">
        <v>396</v>
      </c>
      <c r="N206" t="s">
        <v>397</v>
      </c>
      <c r="O206" s="101" t="s">
        <v>544</v>
      </c>
      <c r="P206" t="s">
        <v>396</v>
      </c>
      <c r="Q206" t="s">
        <v>545</v>
      </c>
      <c r="R206" s="101" t="s">
        <v>546</v>
      </c>
      <c r="S206" t="s">
        <v>547</v>
      </c>
    </row>
    <row r="207" spans="2:22">
      <c r="B207" t="s">
        <v>548</v>
      </c>
      <c r="C207" t="s">
        <v>142</v>
      </c>
      <c r="D207" s="25">
        <v>0</v>
      </c>
      <c r="E207" s="25">
        <v>0.75</v>
      </c>
      <c r="F207" s="25">
        <v>0.5</v>
      </c>
      <c r="G207" s="25">
        <v>0.3</v>
      </c>
      <c r="H207" t="s">
        <v>557</v>
      </c>
      <c r="I207" t="s">
        <v>451</v>
      </c>
      <c r="J207" s="34">
        <v>2</v>
      </c>
      <c r="K207" t="s">
        <v>394</v>
      </c>
      <c r="L207" s="86" t="s">
        <v>558</v>
      </c>
      <c r="M207" t="s">
        <v>396</v>
      </c>
    </row>
    <row r="208" spans="2:22">
      <c r="B208" s="1" t="s">
        <v>145</v>
      </c>
      <c r="D208" s="25"/>
      <c r="E208" s="25"/>
      <c r="F208" s="25"/>
      <c r="G208" s="25"/>
      <c r="J208" s="34"/>
    </row>
    <row r="209" spans="2:22">
      <c r="B209" t="s">
        <v>148</v>
      </c>
      <c r="C209" t="s">
        <v>532</v>
      </c>
      <c r="D209" s="12">
        <v>0</v>
      </c>
      <c r="E209" s="12">
        <v>300</v>
      </c>
      <c r="F209" s="12">
        <v>200</v>
      </c>
      <c r="G209" s="12">
        <v>100</v>
      </c>
      <c r="H209" s="14"/>
      <c r="I209" s="14" t="s">
        <v>400</v>
      </c>
      <c r="J209" s="34">
        <v>2</v>
      </c>
      <c r="K209" t="s">
        <v>550</v>
      </c>
      <c r="L209" s="93">
        <v>200</v>
      </c>
      <c r="M209" t="s">
        <v>551</v>
      </c>
      <c r="N209" s="14"/>
      <c r="O209" s="93"/>
      <c r="P209" s="14"/>
      <c r="Q209" s="14"/>
      <c r="R209" s="93"/>
      <c r="S209" s="14"/>
    </row>
    <row r="210" spans="2:22">
      <c r="B210" t="s">
        <v>548</v>
      </c>
      <c r="C210" t="s">
        <v>532</v>
      </c>
      <c r="D210" s="12">
        <v>0</v>
      </c>
      <c r="E210" s="12">
        <v>1790</v>
      </c>
      <c r="F210" s="12">
        <v>1290</v>
      </c>
      <c r="G210" s="12">
        <v>800</v>
      </c>
      <c r="H210" s="14"/>
      <c r="I210" s="14" t="s">
        <v>552</v>
      </c>
      <c r="J210" s="34">
        <v>1</v>
      </c>
      <c r="K210" s="102" t="s">
        <v>688</v>
      </c>
      <c r="L210" s="93" t="s">
        <v>553</v>
      </c>
      <c r="M210" s="14" t="s">
        <v>338</v>
      </c>
      <c r="N210" s="14"/>
    </row>
    <row r="211" spans="2:22">
      <c r="B211" s="1" t="s">
        <v>554</v>
      </c>
      <c r="D211" s="25"/>
      <c r="E211" s="25"/>
      <c r="F211" s="25"/>
      <c r="G211" s="25"/>
      <c r="J211" s="34"/>
    </row>
    <row r="212" spans="2:22">
      <c r="B212" t="s">
        <v>148</v>
      </c>
      <c r="C212" t="s">
        <v>144</v>
      </c>
      <c r="D212" s="25">
        <v>0</v>
      </c>
      <c r="E212" s="23">
        <v>0.7</v>
      </c>
      <c r="F212" s="23">
        <v>0.6</v>
      </c>
      <c r="G212" s="23">
        <v>0.5</v>
      </c>
      <c r="I212" t="s">
        <v>451</v>
      </c>
      <c r="J212" s="34">
        <v>1</v>
      </c>
      <c r="K212" t="s">
        <v>394</v>
      </c>
      <c r="L212" s="101" t="s">
        <v>555</v>
      </c>
      <c r="M212" t="s">
        <v>396</v>
      </c>
      <c r="N212" t="s">
        <v>397</v>
      </c>
      <c r="O212" s="101" t="s">
        <v>555</v>
      </c>
      <c r="P212" t="s">
        <v>396</v>
      </c>
      <c r="Q212" t="s">
        <v>353</v>
      </c>
      <c r="R212" s="86" t="s">
        <v>556</v>
      </c>
      <c r="S212" s="14" t="s">
        <v>352</v>
      </c>
    </row>
    <row r="213" spans="2:22">
      <c r="B213" t="s">
        <v>548</v>
      </c>
      <c r="C213" t="s">
        <v>144</v>
      </c>
      <c r="D213" s="25">
        <v>0</v>
      </c>
      <c r="E213" s="23">
        <v>0.7</v>
      </c>
      <c r="F213" s="23">
        <v>0.6</v>
      </c>
      <c r="G213" s="23">
        <v>0.5</v>
      </c>
      <c r="I213" t="s">
        <v>451</v>
      </c>
      <c r="J213" s="34">
        <v>1</v>
      </c>
      <c r="K213" t="s">
        <v>394</v>
      </c>
      <c r="L213" s="101" t="s">
        <v>555</v>
      </c>
      <c r="M213" t="s">
        <v>396</v>
      </c>
      <c r="N213" t="s">
        <v>397</v>
      </c>
      <c r="O213" s="101" t="s">
        <v>555</v>
      </c>
      <c r="P213" t="s">
        <v>396</v>
      </c>
      <c r="Q213" t="s">
        <v>353</v>
      </c>
      <c r="R213" s="86" t="s">
        <v>556</v>
      </c>
      <c r="S213" s="14" t="s">
        <v>352</v>
      </c>
    </row>
    <row r="215" spans="2:22">
      <c r="B215" s="28" t="s">
        <v>214</v>
      </c>
      <c r="C215" s="22" t="s">
        <v>297</v>
      </c>
      <c r="D215" s="22" t="s">
        <v>114</v>
      </c>
      <c r="E215" s="22" t="s">
        <v>129</v>
      </c>
      <c r="F215" s="22" t="s">
        <v>79</v>
      </c>
      <c r="G215" s="22" t="s">
        <v>126</v>
      </c>
      <c r="H215" s="29" t="s">
        <v>293</v>
      </c>
      <c r="I215" s="29" t="s">
        <v>372</v>
      </c>
      <c r="J215" s="30" t="s">
        <v>373</v>
      </c>
      <c r="K215" s="29" t="s">
        <v>281</v>
      </c>
      <c r="L215" s="30" t="s">
        <v>282</v>
      </c>
      <c r="M215" s="29" t="s">
        <v>283</v>
      </c>
      <c r="N215" s="29" t="s">
        <v>284</v>
      </c>
      <c r="O215" s="30" t="s">
        <v>285</v>
      </c>
      <c r="P215" s="29" t="s">
        <v>286</v>
      </c>
      <c r="Q215" s="29" t="s">
        <v>287</v>
      </c>
      <c r="R215" s="30" t="s">
        <v>288</v>
      </c>
      <c r="S215" s="31" t="s">
        <v>289</v>
      </c>
      <c r="T215" s="84" t="s">
        <v>294</v>
      </c>
      <c r="U215" s="84" t="s">
        <v>374</v>
      </c>
      <c r="V215" s="84" t="s">
        <v>296</v>
      </c>
    </row>
    <row r="216" spans="2:22">
      <c r="B216" s="22" t="s">
        <v>536</v>
      </c>
      <c r="C216" s="22"/>
      <c r="D216" s="208"/>
      <c r="E216" s="208"/>
      <c r="F216" s="208"/>
      <c r="G216" s="208"/>
      <c r="H216" s="22"/>
      <c r="I216" s="22"/>
      <c r="J216" s="207"/>
      <c r="K216" s="22"/>
      <c r="L216" s="209"/>
      <c r="M216" s="22"/>
      <c r="N216" s="22"/>
      <c r="O216" s="209"/>
      <c r="P216" s="22"/>
      <c r="Q216" s="22"/>
      <c r="R216" s="209"/>
      <c r="S216" s="22"/>
      <c r="T216" s="22"/>
      <c r="U216" s="22"/>
      <c r="V216" s="22"/>
    </row>
    <row r="217" spans="2:22">
      <c r="B217" s="14" t="s">
        <v>133</v>
      </c>
      <c r="C217" t="s">
        <v>88</v>
      </c>
      <c r="D217" s="16">
        <v>0</v>
      </c>
      <c r="E217" s="12">
        <v>135</v>
      </c>
      <c r="F217" s="12">
        <v>130</v>
      </c>
      <c r="G217" s="12">
        <v>125</v>
      </c>
      <c r="J217" s="34">
        <v>3</v>
      </c>
      <c r="N217" s="22"/>
      <c r="O217" s="209"/>
      <c r="P217" s="22"/>
      <c r="Q217" s="22"/>
      <c r="R217" s="209"/>
      <c r="S217" s="22"/>
      <c r="T217" s="22"/>
      <c r="U217" s="22"/>
      <c r="V217" s="22"/>
    </row>
    <row r="218" spans="2:22">
      <c r="B218" s="14" t="s">
        <v>134</v>
      </c>
      <c r="C218" t="s">
        <v>88</v>
      </c>
      <c r="D218" s="16">
        <v>0</v>
      </c>
      <c r="E218" s="12">
        <v>0</v>
      </c>
      <c r="F218" s="12">
        <v>0</v>
      </c>
      <c r="G218" s="12">
        <v>0</v>
      </c>
      <c r="J218" s="34">
        <v>2</v>
      </c>
    </row>
    <row r="219" spans="2:22">
      <c r="B219" s="22" t="s">
        <v>542</v>
      </c>
      <c r="C219" s="22"/>
      <c r="D219" s="208"/>
      <c r="E219" s="214"/>
      <c r="F219" s="214"/>
      <c r="G219" s="214"/>
      <c r="H219" s="22"/>
      <c r="I219" s="22"/>
      <c r="J219" s="207"/>
      <c r="K219" s="22"/>
      <c r="L219" s="209"/>
      <c r="M219" s="22"/>
      <c r="N219" s="22"/>
      <c r="O219" s="209"/>
      <c r="P219" s="22"/>
      <c r="Q219" s="22"/>
      <c r="R219" s="209"/>
      <c r="S219" s="22"/>
      <c r="T219" s="22"/>
      <c r="U219" s="22"/>
      <c r="V219" s="22"/>
    </row>
    <row r="220" spans="2:22">
      <c r="B220" t="s">
        <v>217</v>
      </c>
      <c r="C220" t="s">
        <v>142</v>
      </c>
      <c r="D220" s="25">
        <v>0</v>
      </c>
      <c r="E220" s="25">
        <v>8.5</v>
      </c>
      <c r="F220" s="25">
        <v>8</v>
      </c>
      <c r="G220" s="25">
        <v>7.5</v>
      </c>
      <c r="J220" s="34">
        <v>2</v>
      </c>
      <c r="K220" t="s">
        <v>559</v>
      </c>
      <c r="L220" s="101"/>
      <c r="O220" s="101"/>
      <c r="R220" s="101"/>
    </row>
    <row r="221" spans="2:22">
      <c r="B221" t="s">
        <v>548</v>
      </c>
      <c r="C221" t="s">
        <v>142</v>
      </c>
      <c r="D221" s="25">
        <v>0</v>
      </c>
      <c r="E221" s="213"/>
      <c r="F221" s="213"/>
      <c r="G221" s="213"/>
      <c r="J221" s="34">
        <v>1</v>
      </c>
    </row>
    <row r="222" spans="2:22">
      <c r="B222" s="1" t="s">
        <v>560</v>
      </c>
      <c r="D222" s="25"/>
      <c r="E222" s="106"/>
      <c r="F222" s="106"/>
      <c r="G222" s="106"/>
      <c r="J222" s="34"/>
    </row>
    <row r="223" spans="2:22">
      <c r="B223" t="str">
        <f>B220</f>
        <v>Hennepstro</v>
      </c>
      <c r="C223" t="s">
        <v>532</v>
      </c>
      <c r="D223" s="12">
        <v>0</v>
      </c>
      <c r="E223" s="212">
        <v>130</v>
      </c>
      <c r="F223" s="212">
        <v>126</v>
      </c>
      <c r="G223" s="212">
        <v>110</v>
      </c>
      <c r="H223" s="14"/>
      <c r="I223" s="14"/>
      <c r="J223" s="34">
        <v>2</v>
      </c>
      <c r="K223" t="s">
        <v>559</v>
      </c>
      <c r="L223" s="93"/>
      <c r="N223" s="14"/>
      <c r="O223" s="93"/>
      <c r="P223" s="14"/>
      <c r="Q223" s="14"/>
      <c r="R223" s="93"/>
      <c r="S223" s="14"/>
    </row>
    <row r="224" spans="2:22">
      <c r="B224" t="str">
        <f>B221</f>
        <v>Aren</v>
      </c>
      <c r="C224" t="s">
        <v>532</v>
      </c>
      <c r="D224" s="12">
        <v>0</v>
      </c>
      <c r="E224" s="12"/>
      <c r="F224" s="12"/>
      <c r="G224" s="12"/>
      <c r="H224" s="14"/>
      <c r="I224" s="14"/>
      <c r="J224" s="34">
        <v>1</v>
      </c>
      <c r="L224" s="93"/>
      <c r="M224" s="14"/>
      <c r="N224" s="14"/>
    </row>
    <row r="225" spans="2:22">
      <c r="B225" s="1" t="s">
        <v>554</v>
      </c>
      <c r="D225" s="25"/>
      <c r="E225" s="106"/>
      <c r="F225" s="106"/>
      <c r="G225" s="106"/>
      <c r="J225" s="34"/>
    </row>
    <row r="226" spans="2:22">
      <c r="B226" t="str">
        <f>B220</f>
        <v>Hennepstro</v>
      </c>
      <c r="C226" t="s">
        <v>144</v>
      </c>
      <c r="D226" s="25">
        <v>0</v>
      </c>
      <c r="E226" s="23">
        <v>0.9</v>
      </c>
      <c r="F226" s="23">
        <v>0.8</v>
      </c>
      <c r="G226" s="23">
        <v>0.7</v>
      </c>
      <c r="J226" s="34">
        <v>2</v>
      </c>
      <c r="K226" t="s">
        <v>559</v>
      </c>
      <c r="L226" s="101"/>
      <c r="O226" s="101"/>
      <c r="S226" s="14"/>
    </row>
    <row r="227" spans="2:22">
      <c r="B227" t="str">
        <f>B221</f>
        <v>Aren</v>
      </c>
      <c r="C227" t="s">
        <v>144</v>
      </c>
      <c r="D227" s="25">
        <v>0</v>
      </c>
      <c r="E227" s="23"/>
      <c r="F227" s="23"/>
      <c r="G227" s="23"/>
      <c r="J227" s="34">
        <v>1</v>
      </c>
      <c r="L227" s="101"/>
      <c r="O227" s="101"/>
      <c r="S227" s="14"/>
    </row>
    <row r="229" spans="2:22">
      <c r="B229" s="28" t="s">
        <v>209</v>
      </c>
      <c r="C229" s="22" t="s">
        <v>297</v>
      </c>
      <c r="D229" s="22" t="s">
        <v>114</v>
      </c>
      <c r="E229" s="22" t="s">
        <v>129</v>
      </c>
      <c r="F229" s="22" t="s">
        <v>79</v>
      </c>
      <c r="G229" s="22" t="s">
        <v>126</v>
      </c>
      <c r="H229" s="29" t="s">
        <v>293</v>
      </c>
      <c r="I229" s="29" t="s">
        <v>372</v>
      </c>
      <c r="J229" s="30" t="s">
        <v>373</v>
      </c>
      <c r="K229" s="29" t="s">
        <v>281</v>
      </c>
      <c r="L229" s="30" t="s">
        <v>282</v>
      </c>
      <c r="M229" s="29" t="s">
        <v>283</v>
      </c>
      <c r="N229" s="29" t="s">
        <v>284</v>
      </c>
      <c r="O229" s="30" t="s">
        <v>285</v>
      </c>
      <c r="P229" s="29" t="s">
        <v>286</v>
      </c>
      <c r="Q229" s="29" t="s">
        <v>287</v>
      </c>
      <c r="R229" s="30" t="s">
        <v>288</v>
      </c>
      <c r="S229" s="31" t="s">
        <v>289</v>
      </c>
      <c r="T229" s="84" t="s">
        <v>294</v>
      </c>
      <c r="U229" s="84" t="s">
        <v>374</v>
      </c>
      <c r="V229" s="84" t="s">
        <v>296</v>
      </c>
    </row>
    <row r="230" spans="2:22">
      <c r="B230" s="22" t="s">
        <v>536</v>
      </c>
      <c r="C230" s="22"/>
      <c r="D230" s="208"/>
      <c r="E230" s="208"/>
      <c r="F230" s="208"/>
      <c r="G230" s="208"/>
      <c r="H230" s="22"/>
      <c r="I230" s="22"/>
      <c r="J230" s="207"/>
      <c r="K230" s="22"/>
      <c r="L230" s="209"/>
      <c r="M230" s="22"/>
      <c r="N230" s="22"/>
      <c r="O230" s="209"/>
      <c r="P230" s="22"/>
      <c r="Q230" s="22"/>
      <c r="R230" s="209"/>
      <c r="S230" s="22"/>
      <c r="T230" s="22"/>
      <c r="U230" s="22"/>
      <c r="V230" s="22"/>
    </row>
    <row r="231" spans="2:22">
      <c r="B231" s="14" t="s">
        <v>133</v>
      </c>
      <c r="C231" t="s">
        <v>88</v>
      </c>
      <c r="D231" s="16">
        <v>0</v>
      </c>
      <c r="E231" s="12"/>
      <c r="F231" s="12"/>
      <c r="G231" s="12"/>
      <c r="J231" s="34">
        <v>1</v>
      </c>
      <c r="N231" s="22"/>
      <c r="O231" s="209"/>
      <c r="P231" s="22"/>
      <c r="Q231" s="22"/>
      <c r="R231" s="209"/>
      <c r="S231" s="22"/>
      <c r="T231" s="22"/>
      <c r="U231" s="22"/>
      <c r="V231" s="22"/>
    </row>
    <row r="232" spans="2:22">
      <c r="B232" s="14" t="s">
        <v>134</v>
      </c>
      <c r="C232" t="s">
        <v>88</v>
      </c>
      <c r="D232" s="16">
        <v>0</v>
      </c>
      <c r="E232" s="12">
        <v>7000</v>
      </c>
      <c r="F232" s="12">
        <v>6000</v>
      </c>
      <c r="G232" s="12">
        <v>5000</v>
      </c>
      <c r="J232" s="34">
        <v>2</v>
      </c>
      <c r="K232" t="s">
        <v>561</v>
      </c>
    </row>
    <row r="233" spans="2:22">
      <c r="B233" s="22" t="s">
        <v>542</v>
      </c>
      <c r="C233" s="22"/>
      <c r="D233" s="208"/>
      <c r="E233" s="208"/>
      <c r="F233" s="208"/>
      <c r="G233" s="208"/>
      <c r="H233" s="22"/>
      <c r="I233" s="22"/>
      <c r="J233" s="207"/>
      <c r="K233" s="22"/>
      <c r="L233" s="209"/>
      <c r="M233" s="22"/>
      <c r="N233" s="22"/>
      <c r="O233" s="209"/>
      <c r="P233" s="22"/>
      <c r="Q233" s="22"/>
      <c r="R233" s="209"/>
      <c r="S233" s="22"/>
      <c r="T233" s="22"/>
      <c r="U233" s="22"/>
      <c r="V233" s="22"/>
    </row>
    <row r="234" spans="2:22">
      <c r="B234" t="s">
        <v>562</v>
      </c>
      <c r="C234" t="s">
        <v>142</v>
      </c>
      <c r="D234" s="25">
        <v>0</v>
      </c>
      <c r="E234" s="212">
        <v>15</v>
      </c>
      <c r="F234" s="212">
        <v>12.5</v>
      </c>
      <c r="G234" s="212">
        <v>10</v>
      </c>
      <c r="J234" s="34">
        <v>2</v>
      </c>
      <c r="K234" t="s">
        <v>563</v>
      </c>
      <c r="L234" s="101"/>
      <c r="O234" s="101"/>
      <c r="R234" s="101"/>
    </row>
    <row r="235" spans="2:22">
      <c r="B235" t="s">
        <v>210</v>
      </c>
      <c r="C235" t="s">
        <v>142</v>
      </c>
      <c r="D235" s="25">
        <v>0</v>
      </c>
      <c r="E235" s="212">
        <v>15</v>
      </c>
      <c r="F235" s="212">
        <v>12.5</v>
      </c>
      <c r="G235" s="212">
        <v>10</v>
      </c>
      <c r="J235" s="34">
        <v>2</v>
      </c>
      <c r="K235" t="s">
        <v>563</v>
      </c>
    </row>
    <row r="236" spans="2:22">
      <c r="B236" s="1" t="s">
        <v>560</v>
      </c>
      <c r="D236" s="25"/>
      <c r="E236" s="25"/>
      <c r="F236" s="25"/>
      <c r="G236" s="25"/>
      <c r="J236" s="34"/>
    </row>
    <row r="237" spans="2:22">
      <c r="B237" t="str">
        <f>B234</f>
        <v>Rietvezel</v>
      </c>
      <c r="C237" t="s">
        <v>532</v>
      </c>
      <c r="D237" s="12">
        <v>0</v>
      </c>
      <c r="E237" s="12">
        <v>110</v>
      </c>
      <c r="F237" s="12">
        <v>90</v>
      </c>
      <c r="G237" s="12">
        <v>30</v>
      </c>
      <c r="H237" s="14"/>
      <c r="I237" s="14"/>
      <c r="J237" s="34">
        <v>2</v>
      </c>
      <c r="K237" t="s">
        <v>561</v>
      </c>
      <c r="L237" s="93"/>
      <c r="N237" s="14"/>
      <c r="O237" s="93"/>
      <c r="P237" s="14"/>
      <c r="Q237" s="14"/>
      <c r="R237" s="93"/>
      <c r="S237" s="14"/>
    </row>
    <row r="238" spans="2:22">
      <c r="B238" t="str">
        <f>B235</f>
        <v>Bosjes rietdak</v>
      </c>
      <c r="C238" t="s">
        <v>532</v>
      </c>
      <c r="D238" s="12">
        <v>0</v>
      </c>
      <c r="E238" s="12">
        <v>580</v>
      </c>
      <c r="F238" s="12">
        <v>440</v>
      </c>
      <c r="G238" s="12">
        <v>300</v>
      </c>
      <c r="H238" s="14"/>
      <c r="I238" s="14" t="s">
        <v>400</v>
      </c>
      <c r="J238" s="34">
        <v>2</v>
      </c>
      <c r="K238" s="102" t="s">
        <v>688</v>
      </c>
      <c r="L238" s="93" t="s">
        <v>564</v>
      </c>
      <c r="M238" s="14"/>
      <c r="N238" s="14"/>
    </row>
    <row r="239" spans="2:22">
      <c r="B239" s="1" t="s">
        <v>554</v>
      </c>
      <c r="D239" s="25"/>
      <c r="E239" s="25"/>
      <c r="F239" s="25"/>
      <c r="G239" s="25"/>
      <c r="J239" s="34"/>
    </row>
    <row r="240" spans="2:22">
      <c r="B240" t="str">
        <f>B234</f>
        <v>Rietvezel</v>
      </c>
      <c r="C240" t="s">
        <v>144</v>
      </c>
      <c r="D240" s="25">
        <v>0</v>
      </c>
      <c r="E240" s="23">
        <v>0.9</v>
      </c>
      <c r="F240" s="23">
        <v>0.8</v>
      </c>
      <c r="G240" s="23">
        <v>0.7</v>
      </c>
      <c r="J240" s="34">
        <v>2</v>
      </c>
      <c r="L240" s="101"/>
      <c r="O240" s="101"/>
      <c r="S240" s="14"/>
    </row>
    <row r="241" spans="2:22">
      <c r="B241" t="str">
        <f>B235</f>
        <v>Bosjes rietdak</v>
      </c>
      <c r="C241" t="s">
        <v>144</v>
      </c>
      <c r="D241" s="25">
        <v>0</v>
      </c>
      <c r="E241" s="23">
        <v>0.9</v>
      </c>
      <c r="F241" s="23">
        <v>0.8</v>
      </c>
      <c r="G241" s="23">
        <v>0.7</v>
      </c>
      <c r="J241" s="34">
        <v>2</v>
      </c>
      <c r="L241" s="101"/>
      <c r="O241" s="101"/>
      <c r="S241" s="14"/>
    </row>
    <row r="243" spans="2:22">
      <c r="B243" s="28" t="s">
        <v>220</v>
      </c>
      <c r="C243" s="22" t="s">
        <v>297</v>
      </c>
      <c r="D243" s="22" t="s">
        <v>114</v>
      </c>
      <c r="E243" s="22" t="s">
        <v>129</v>
      </c>
      <c r="F243" s="22" t="s">
        <v>79</v>
      </c>
      <c r="G243" s="22" t="s">
        <v>126</v>
      </c>
      <c r="H243" s="29" t="s">
        <v>293</v>
      </c>
      <c r="I243" s="29" t="s">
        <v>372</v>
      </c>
      <c r="J243" s="30" t="s">
        <v>373</v>
      </c>
      <c r="K243" s="29" t="s">
        <v>281</v>
      </c>
      <c r="L243" s="30" t="s">
        <v>282</v>
      </c>
      <c r="M243" s="29" t="s">
        <v>283</v>
      </c>
      <c r="N243" s="29" t="s">
        <v>284</v>
      </c>
      <c r="O243" s="30" t="s">
        <v>285</v>
      </c>
      <c r="P243" s="29" t="s">
        <v>286</v>
      </c>
      <c r="Q243" s="29" t="s">
        <v>287</v>
      </c>
      <c r="R243" s="30" t="s">
        <v>288</v>
      </c>
      <c r="S243" s="31" t="s">
        <v>289</v>
      </c>
      <c r="T243" s="84" t="s">
        <v>294</v>
      </c>
      <c r="U243" s="84" t="s">
        <v>374</v>
      </c>
      <c r="V243" s="84" t="s">
        <v>296</v>
      </c>
    </row>
    <row r="244" spans="2:22">
      <c r="B244" s="22" t="s">
        <v>536</v>
      </c>
      <c r="C244" s="22"/>
      <c r="D244" s="208"/>
      <c r="E244" s="208"/>
      <c r="F244" s="208"/>
      <c r="G244" s="208"/>
      <c r="H244" s="22"/>
      <c r="I244" s="22"/>
      <c r="J244" s="207"/>
      <c r="K244" s="22"/>
      <c r="L244" s="209"/>
      <c r="M244" s="22"/>
      <c r="N244" s="22"/>
      <c r="O244" s="209"/>
      <c r="P244" s="22"/>
      <c r="Q244" s="22"/>
      <c r="R244" s="209"/>
      <c r="S244" s="22"/>
      <c r="T244" s="22"/>
      <c r="U244" s="22"/>
      <c r="V244" s="22"/>
    </row>
    <row r="245" spans="2:22">
      <c r="B245" s="14" t="s">
        <v>133</v>
      </c>
      <c r="C245" t="s">
        <v>88</v>
      </c>
      <c r="D245" s="16">
        <v>0</v>
      </c>
      <c r="E245" s="12">
        <v>1950</v>
      </c>
      <c r="F245" s="12">
        <v>1830</v>
      </c>
      <c r="G245" s="12">
        <v>1750</v>
      </c>
      <c r="J245" s="34">
        <v>3</v>
      </c>
      <c r="K245" t="s">
        <v>565</v>
      </c>
      <c r="N245" s="22"/>
      <c r="O245" s="209"/>
      <c r="P245" s="22"/>
      <c r="Q245" s="22"/>
      <c r="R245" s="209"/>
      <c r="S245" s="22"/>
      <c r="T245" s="22"/>
      <c r="U245" s="22"/>
      <c r="V245" s="22"/>
    </row>
    <row r="246" spans="2:22">
      <c r="B246" s="14" t="s">
        <v>134</v>
      </c>
      <c r="C246" t="s">
        <v>88</v>
      </c>
      <c r="D246" s="16">
        <v>0</v>
      </c>
      <c r="E246" s="12">
        <v>9000</v>
      </c>
      <c r="F246" s="12">
        <v>6000</v>
      </c>
      <c r="G246" s="12">
        <v>3000</v>
      </c>
      <c r="J246" s="34">
        <v>2</v>
      </c>
      <c r="K246" t="s">
        <v>566</v>
      </c>
    </row>
    <row r="247" spans="2:22">
      <c r="B247" s="22" t="s">
        <v>542</v>
      </c>
      <c r="C247" s="22"/>
      <c r="D247" s="208"/>
      <c r="E247" s="208"/>
      <c r="F247" s="208"/>
      <c r="G247" s="208"/>
      <c r="H247" s="22"/>
      <c r="I247" s="22"/>
      <c r="J247" s="207"/>
      <c r="K247" s="22"/>
      <c r="L247" s="209"/>
      <c r="M247" s="22"/>
      <c r="N247" s="22"/>
      <c r="O247" s="209"/>
      <c r="P247" s="22"/>
      <c r="Q247" s="22"/>
      <c r="R247" s="209"/>
      <c r="S247" s="22"/>
      <c r="T247" s="22"/>
      <c r="U247" s="22"/>
      <c r="V247" s="22"/>
    </row>
    <row r="248" spans="2:22">
      <c r="B248" t="s">
        <v>148</v>
      </c>
      <c r="C248" t="s">
        <v>142</v>
      </c>
      <c r="D248" s="25">
        <v>0</v>
      </c>
      <c r="E248" s="32">
        <v>20</v>
      </c>
      <c r="F248" s="32">
        <v>15</v>
      </c>
      <c r="G248" s="32">
        <v>10</v>
      </c>
      <c r="J248" s="34">
        <v>0</v>
      </c>
      <c r="L248" s="101"/>
      <c r="O248" s="101"/>
      <c r="R248" s="101"/>
    </row>
    <row r="249" spans="2:22">
      <c r="B249" t="s">
        <v>567</v>
      </c>
      <c r="C249" t="s">
        <v>142</v>
      </c>
      <c r="D249" s="25">
        <v>0</v>
      </c>
      <c r="E249" s="25"/>
      <c r="F249" s="25"/>
      <c r="G249" s="25"/>
      <c r="J249" s="34">
        <v>1</v>
      </c>
    </row>
    <row r="250" spans="2:22">
      <c r="B250" s="1" t="s">
        <v>145</v>
      </c>
      <c r="D250" s="25"/>
      <c r="E250" s="25"/>
      <c r="F250" s="25"/>
      <c r="G250" s="25"/>
      <c r="J250" s="34"/>
    </row>
    <row r="251" spans="2:22">
      <c r="B251" t="str">
        <f>B248</f>
        <v>Gehele plant</v>
      </c>
      <c r="C251" t="s">
        <v>532</v>
      </c>
      <c r="D251" s="12">
        <v>0</v>
      </c>
      <c r="E251" s="5">
        <v>172.5</v>
      </c>
      <c r="F251" s="5">
        <v>138</v>
      </c>
      <c r="G251" s="5">
        <v>103.5</v>
      </c>
      <c r="H251" s="14"/>
      <c r="I251" s="14"/>
      <c r="J251" s="34">
        <v>2</v>
      </c>
      <c r="K251" t="s">
        <v>568</v>
      </c>
      <c r="L251" s="93"/>
      <c r="N251" s="14"/>
      <c r="O251" s="93"/>
      <c r="P251" s="14"/>
      <c r="Q251" s="14"/>
      <c r="R251" s="93"/>
      <c r="S251" s="14"/>
    </row>
    <row r="252" spans="2:22">
      <c r="B252" t="str">
        <f>B249</f>
        <v>Opbrengst 2</v>
      </c>
      <c r="C252" t="s">
        <v>532</v>
      </c>
      <c r="D252" s="12">
        <v>0</v>
      </c>
      <c r="E252" s="12"/>
      <c r="F252" s="12"/>
      <c r="G252" s="12"/>
      <c r="H252" s="14"/>
      <c r="I252" s="14"/>
      <c r="J252" s="34">
        <v>1</v>
      </c>
      <c r="K252" s="102"/>
      <c r="L252" s="93"/>
      <c r="M252" s="14"/>
      <c r="N252" s="14"/>
    </row>
    <row r="253" spans="2:22">
      <c r="B253" s="1" t="s">
        <v>554</v>
      </c>
      <c r="D253" s="25"/>
      <c r="E253" s="25"/>
      <c r="F253" s="25"/>
      <c r="G253" s="25"/>
      <c r="J253" s="34"/>
    </row>
    <row r="254" spans="2:22">
      <c r="B254" t="str">
        <f>B248</f>
        <v>Gehele plant</v>
      </c>
      <c r="C254" t="s">
        <v>144</v>
      </c>
      <c r="D254" s="25">
        <v>0</v>
      </c>
      <c r="E254" s="23">
        <v>0.65</v>
      </c>
      <c r="F254" s="23">
        <v>0.6</v>
      </c>
      <c r="G254" s="23">
        <v>0.55000000000000004</v>
      </c>
      <c r="J254" s="34">
        <v>2</v>
      </c>
      <c r="K254" t="s">
        <v>569</v>
      </c>
      <c r="L254" s="101"/>
      <c r="O254" s="101"/>
      <c r="S254" s="14"/>
    </row>
    <row r="255" spans="2:22">
      <c r="B255" t="str">
        <f>B249</f>
        <v>Opbrengst 2</v>
      </c>
      <c r="C255" t="s">
        <v>144</v>
      </c>
      <c r="D255" s="25">
        <v>0</v>
      </c>
      <c r="E255" s="23"/>
      <c r="F255" s="23"/>
      <c r="G255" s="23"/>
      <c r="J255" s="34">
        <v>1</v>
      </c>
      <c r="L255" s="101"/>
      <c r="O255" s="101"/>
      <c r="S255" s="14"/>
    </row>
    <row r="257" spans="2:22">
      <c r="B257" s="28" t="s">
        <v>212</v>
      </c>
      <c r="C257" s="22" t="s">
        <v>297</v>
      </c>
      <c r="D257" s="22" t="s">
        <v>114</v>
      </c>
      <c r="E257" s="22" t="s">
        <v>129</v>
      </c>
      <c r="F257" s="22" t="s">
        <v>79</v>
      </c>
      <c r="G257" s="22" t="s">
        <v>126</v>
      </c>
      <c r="H257" s="29" t="s">
        <v>293</v>
      </c>
      <c r="I257" s="29" t="s">
        <v>372</v>
      </c>
      <c r="J257" s="30" t="s">
        <v>373</v>
      </c>
      <c r="K257" s="29" t="s">
        <v>281</v>
      </c>
      <c r="L257" s="30" t="s">
        <v>282</v>
      </c>
      <c r="M257" s="29" t="s">
        <v>283</v>
      </c>
      <c r="N257" s="29" t="s">
        <v>284</v>
      </c>
      <c r="O257" s="30" t="s">
        <v>285</v>
      </c>
      <c r="P257" s="29" t="s">
        <v>286</v>
      </c>
      <c r="Q257" s="29" t="s">
        <v>287</v>
      </c>
      <c r="R257" s="30" t="s">
        <v>288</v>
      </c>
      <c r="S257" s="31" t="s">
        <v>289</v>
      </c>
      <c r="T257" s="84" t="s">
        <v>294</v>
      </c>
      <c r="U257" s="84" t="s">
        <v>374</v>
      </c>
      <c r="V257" s="84" t="s">
        <v>296</v>
      </c>
    </row>
    <row r="258" spans="2:22">
      <c r="B258" s="22" t="s">
        <v>536</v>
      </c>
      <c r="C258" s="22"/>
      <c r="D258" s="208"/>
      <c r="E258" s="208"/>
      <c r="F258" s="208"/>
      <c r="G258" s="208"/>
      <c r="H258" s="22"/>
      <c r="I258" s="22"/>
      <c r="J258" s="207"/>
      <c r="K258" s="22"/>
      <c r="L258" s="209"/>
      <c r="M258" s="22"/>
      <c r="N258" s="22"/>
      <c r="O258" s="209"/>
      <c r="P258" s="22"/>
      <c r="Q258" s="22"/>
      <c r="R258" s="209"/>
      <c r="S258" s="22"/>
      <c r="T258" s="22"/>
      <c r="U258" s="22"/>
      <c r="V258" s="22"/>
    </row>
    <row r="259" spans="2:22">
      <c r="B259" s="14" t="s">
        <v>133</v>
      </c>
      <c r="C259" t="s">
        <v>88</v>
      </c>
      <c r="D259" s="16">
        <v>0</v>
      </c>
      <c r="E259" s="12"/>
      <c r="F259" s="12"/>
      <c r="G259" s="12"/>
      <c r="J259" s="34">
        <v>1</v>
      </c>
      <c r="N259" s="22"/>
      <c r="O259" s="209"/>
      <c r="P259" s="22"/>
      <c r="Q259" s="22"/>
      <c r="R259" s="209"/>
      <c r="S259" s="22"/>
      <c r="T259" s="22"/>
      <c r="U259" s="22"/>
      <c r="V259" s="22"/>
    </row>
    <row r="260" spans="2:22">
      <c r="B260" s="14" t="s">
        <v>134</v>
      </c>
      <c r="C260" t="s">
        <v>88</v>
      </c>
      <c r="D260" s="16">
        <v>0</v>
      </c>
      <c r="E260" s="12">
        <v>3000</v>
      </c>
      <c r="F260" s="12">
        <v>2500</v>
      </c>
      <c r="G260" s="12">
        <v>2000</v>
      </c>
      <c r="J260" s="34">
        <v>1</v>
      </c>
      <c r="T260" s="22"/>
      <c r="U260" s="22"/>
      <c r="V260" s="22"/>
    </row>
    <row r="261" spans="2:22">
      <c r="B261" s="22" t="s">
        <v>542</v>
      </c>
      <c r="C261" s="22"/>
      <c r="D261" s="208"/>
      <c r="E261" s="208"/>
      <c r="F261" s="208"/>
      <c r="G261" s="208"/>
      <c r="H261" s="22"/>
      <c r="I261" s="22"/>
      <c r="J261" s="207"/>
      <c r="K261" s="22"/>
      <c r="L261" s="209"/>
      <c r="M261" s="22"/>
      <c r="N261" s="22"/>
      <c r="O261" s="209"/>
      <c r="P261" s="22"/>
      <c r="Q261" s="22"/>
      <c r="R261" s="209"/>
      <c r="S261" s="22"/>
      <c r="T261" s="22"/>
      <c r="U261" s="22"/>
      <c r="V261" s="22"/>
    </row>
    <row r="262" spans="2:22">
      <c r="B262" t="s">
        <v>212</v>
      </c>
      <c r="C262" t="s">
        <v>142</v>
      </c>
      <c r="D262" s="25">
        <v>0</v>
      </c>
      <c r="E262" s="32">
        <v>12</v>
      </c>
      <c r="F262" s="32">
        <v>10</v>
      </c>
      <c r="G262" s="32">
        <v>8</v>
      </c>
      <c r="J262" s="34">
        <v>2</v>
      </c>
      <c r="K262" t="s">
        <v>563</v>
      </c>
      <c r="L262" s="101"/>
      <c r="O262" s="101"/>
      <c r="R262" s="101"/>
      <c r="T262" s="22"/>
      <c r="U262" s="22"/>
      <c r="V262" s="22"/>
    </row>
    <row r="263" spans="2:22">
      <c r="B263" t="s">
        <v>567</v>
      </c>
      <c r="C263" t="s">
        <v>142</v>
      </c>
      <c r="D263" s="25">
        <v>0</v>
      </c>
      <c r="E263" s="25"/>
      <c r="F263" s="25"/>
      <c r="G263" s="25"/>
      <c r="J263" s="34">
        <v>1</v>
      </c>
    </row>
    <row r="264" spans="2:22">
      <c r="B264" s="1" t="s">
        <v>560</v>
      </c>
      <c r="D264" s="25"/>
      <c r="E264" s="25"/>
      <c r="F264" s="25"/>
      <c r="G264" s="25"/>
      <c r="J264" s="34"/>
    </row>
    <row r="265" spans="2:22">
      <c r="B265" t="str">
        <f>B262</f>
        <v>Miscanthus</v>
      </c>
      <c r="C265" t="s">
        <v>532</v>
      </c>
      <c r="D265" s="12">
        <v>0</v>
      </c>
      <c r="E265" s="12">
        <v>120</v>
      </c>
      <c r="F265" s="12">
        <v>100</v>
      </c>
      <c r="G265" s="12">
        <v>80</v>
      </c>
      <c r="H265" s="14"/>
      <c r="I265" s="14"/>
      <c r="J265" s="34">
        <v>1</v>
      </c>
      <c r="L265" s="93"/>
      <c r="N265" s="14"/>
      <c r="O265" s="93"/>
      <c r="P265" s="14"/>
      <c r="Q265" s="14"/>
      <c r="R265" s="93"/>
      <c r="S265" s="14"/>
    </row>
    <row r="266" spans="2:22">
      <c r="B266" t="str">
        <f>B263</f>
        <v>Opbrengst 2</v>
      </c>
      <c r="C266" t="s">
        <v>532</v>
      </c>
      <c r="D266" s="12">
        <v>0</v>
      </c>
      <c r="E266" s="12"/>
      <c r="F266" s="12"/>
      <c r="G266" s="12"/>
      <c r="H266" s="14"/>
      <c r="I266" s="14"/>
      <c r="J266" s="34">
        <v>1</v>
      </c>
      <c r="K266" s="102"/>
      <c r="L266" s="93"/>
      <c r="M266" s="14"/>
      <c r="N266" s="14"/>
    </row>
    <row r="267" spans="2:22">
      <c r="B267" s="1" t="s">
        <v>554</v>
      </c>
      <c r="D267" s="25"/>
      <c r="E267" s="25"/>
      <c r="F267" s="25"/>
      <c r="G267" s="25"/>
      <c r="J267" s="34"/>
    </row>
    <row r="268" spans="2:22">
      <c r="B268" t="str">
        <f>B262</f>
        <v>Miscanthus</v>
      </c>
      <c r="C268" t="s">
        <v>144</v>
      </c>
      <c r="D268" s="25">
        <v>0</v>
      </c>
      <c r="E268" s="23">
        <v>0.9</v>
      </c>
      <c r="F268" s="23">
        <v>0.8</v>
      </c>
      <c r="G268" s="23">
        <v>0.7</v>
      </c>
      <c r="J268" s="34">
        <v>1</v>
      </c>
      <c r="L268" s="101"/>
      <c r="O268" s="101"/>
      <c r="S268" s="14"/>
    </row>
    <row r="269" spans="2:22">
      <c r="B269" t="str">
        <f>B263</f>
        <v>Opbrengst 2</v>
      </c>
      <c r="C269" t="s">
        <v>144</v>
      </c>
      <c r="D269" s="25">
        <v>0</v>
      </c>
      <c r="E269" s="23"/>
      <c r="F269" s="23"/>
      <c r="G269" s="23"/>
      <c r="J269" s="34">
        <v>1</v>
      </c>
      <c r="L269" s="101"/>
      <c r="O269" s="101"/>
      <c r="S269" s="14"/>
    </row>
    <row r="271" spans="2:22">
      <c r="B271" s="28" t="s">
        <v>570</v>
      </c>
      <c r="C271" s="22" t="s">
        <v>297</v>
      </c>
      <c r="D271" s="22" t="s">
        <v>114</v>
      </c>
      <c r="E271" s="22" t="s">
        <v>129</v>
      </c>
      <c r="F271" s="22" t="s">
        <v>79</v>
      </c>
      <c r="G271" s="22" t="s">
        <v>126</v>
      </c>
      <c r="H271" s="29" t="s">
        <v>293</v>
      </c>
      <c r="I271" s="29" t="s">
        <v>372</v>
      </c>
      <c r="J271" s="30" t="s">
        <v>373</v>
      </c>
      <c r="K271" s="29" t="s">
        <v>281</v>
      </c>
      <c r="L271" s="30" t="s">
        <v>282</v>
      </c>
      <c r="M271" s="29" t="s">
        <v>283</v>
      </c>
      <c r="N271" s="29" t="s">
        <v>284</v>
      </c>
      <c r="O271" s="30" t="s">
        <v>285</v>
      </c>
      <c r="P271" s="29" t="s">
        <v>286</v>
      </c>
      <c r="Q271" s="29" t="s">
        <v>287</v>
      </c>
      <c r="R271" s="30" t="s">
        <v>288</v>
      </c>
      <c r="S271" s="31" t="s">
        <v>289</v>
      </c>
      <c r="T271" s="84" t="s">
        <v>294</v>
      </c>
      <c r="U271" s="84" t="s">
        <v>374</v>
      </c>
      <c r="V271" s="84" t="s">
        <v>296</v>
      </c>
    </row>
    <row r="272" spans="2:22">
      <c r="B272" s="22" t="s">
        <v>536</v>
      </c>
      <c r="C272" s="22"/>
      <c r="D272" s="208"/>
      <c r="E272" s="208"/>
      <c r="F272" s="208"/>
      <c r="G272" s="208"/>
      <c r="H272" s="22"/>
      <c r="I272" s="22"/>
      <c r="J272" s="207"/>
      <c r="K272" s="22"/>
      <c r="L272" s="209"/>
      <c r="M272" s="22"/>
      <c r="N272" s="22"/>
      <c r="O272" s="209"/>
      <c r="P272" s="22"/>
      <c r="Q272" s="22"/>
      <c r="R272" s="209"/>
      <c r="S272" s="22"/>
      <c r="T272" s="22"/>
      <c r="U272" s="22"/>
      <c r="V272" s="22"/>
    </row>
    <row r="273" spans="2:22">
      <c r="B273" s="14" t="s">
        <v>133</v>
      </c>
      <c r="C273" t="s">
        <v>88</v>
      </c>
      <c r="D273" s="16">
        <v>0</v>
      </c>
      <c r="E273" s="12"/>
      <c r="F273" s="12"/>
      <c r="G273" s="12"/>
      <c r="J273" s="34"/>
      <c r="N273" s="22"/>
      <c r="O273" s="209"/>
      <c r="P273" s="22"/>
      <c r="Q273" s="22"/>
      <c r="R273" s="209"/>
      <c r="S273" s="22"/>
      <c r="T273" s="22"/>
      <c r="U273" s="22"/>
      <c r="V273" s="22"/>
    </row>
    <row r="274" spans="2:22">
      <c r="B274" s="14" t="s">
        <v>134</v>
      </c>
      <c r="C274" t="s">
        <v>88</v>
      </c>
      <c r="D274" s="16">
        <v>0</v>
      </c>
      <c r="E274" s="12"/>
      <c r="F274" s="12"/>
      <c r="G274" s="12"/>
      <c r="J274" s="34"/>
      <c r="T274" s="22"/>
      <c r="U274" s="22"/>
      <c r="V274" s="22"/>
    </row>
    <row r="275" spans="2:22">
      <c r="B275" s="22" t="s">
        <v>542</v>
      </c>
      <c r="C275" s="22"/>
      <c r="D275" s="208"/>
      <c r="E275" s="208"/>
      <c r="F275" s="208"/>
      <c r="G275" s="208"/>
      <c r="H275" s="22"/>
      <c r="I275" s="22"/>
      <c r="J275" s="207"/>
      <c r="K275" s="22"/>
      <c r="L275" s="209"/>
      <c r="M275" s="22"/>
      <c r="N275" s="22"/>
      <c r="O275" s="209"/>
      <c r="P275" s="22"/>
      <c r="Q275" s="22"/>
      <c r="R275" s="209"/>
      <c r="S275" s="22"/>
      <c r="T275" s="22"/>
      <c r="U275" s="22"/>
      <c r="V275" s="22"/>
    </row>
    <row r="276" spans="2:22">
      <c r="B276" t="s">
        <v>571</v>
      </c>
      <c r="C276" t="s">
        <v>142</v>
      </c>
      <c r="D276" s="25">
        <v>0</v>
      </c>
      <c r="E276" s="32"/>
      <c r="F276" s="32"/>
      <c r="G276" s="32"/>
      <c r="J276" s="34"/>
      <c r="L276" s="101"/>
      <c r="O276" s="101"/>
      <c r="R276" s="101"/>
    </row>
    <row r="277" spans="2:22">
      <c r="B277" t="s">
        <v>567</v>
      </c>
      <c r="C277" t="s">
        <v>142</v>
      </c>
      <c r="D277" s="25">
        <v>0</v>
      </c>
      <c r="E277" s="25"/>
      <c r="F277" s="25"/>
      <c r="G277" s="25"/>
      <c r="J277" s="34"/>
    </row>
    <row r="278" spans="2:22">
      <c r="B278" s="1" t="s">
        <v>145</v>
      </c>
      <c r="D278" s="25"/>
      <c r="E278" s="25"/>
      <c r="F278" s="25"/>
      <c r="G278" s="25"/>
      <c r="J278" s="34"/>
    </row>
    <row r="279" spans="2:22">
      <c r="B279" t="str">
        <f>B276</f>
        <v>Opbrengst 1</v>
      </c>
      <c r="C279" t="s">
        <v>532</v>
      </c>
      <c r="D279" s="12">
        <v>0</v>
      </c>
      <c r="E279" s="12"/>
      <c r="F279" s="12"/>
      <c r="G279" s="12"/>
      <c r="H279" s="14"/>
      <c r="I279" s="14"/>
      <c r="J279" s="34"/>
      <c r="L279" s="93"/>
      <c r="N279" s="14"/>
      <c r="O279" s="93"/>
      <c r="P279" s="14"/>
      <c r="Q279" s="14"/>
      <c r="R279" s="93"/>
      <c r="S279" s="14"/>
    </row>
    <row r="280" spans="2:22">
      <c r="B280" t="str">
        <f>B277</f>
        <v>Opbrengst 2</v>
      </c>
      <c r="C280" t="s">
        <v>532</v>
      </c>
      <c r="D280" s="12">
        <v>0</v>
      </c>
      <c r="E280" s="12"/>
      <c r="F280" s="12"/>
      <c r="G280" s="12"/>
      <c r="H280" s="14"/>
      <c r="I280" s="14"/>
      <c r="J280" s="34"/>
      <c r="K280" s="102"/>
      <c r="L280" s="93"/>
      <c r="M280" s="14"/>
      <c r="N280" s="14"/>
    </row>
    <row r="281" spans="2:22">
      <c r="B281" s="1" t="s">
        <v>554</v>
      </c>
      <c r="D281" s="25"/>
      <c r="E281" s="25"/>
      <c r="F281" s="25"/>
      <c r="G281" s="25"/>
      <c r="J281" s="34"/>
    </row>
    <row r="282" spans="2:22">
      <c r="B282" t="str">
        <f>B276</f>
        <v>Opbrengst 1</v>
      </c>
      <c r="C282" t="s">
        <v>144</v>
      </c>
      <c r="D282" s="25">
        <v>0</v>
      </c>
      <c r="E282" s="23"/>
      <c r="F282" s="23"/>
      <c r="G282" s="23"/>
      <c r="J282" s="34"/>
      <c r="L282" s="101"/>
      <c r="O282" s="101"/>
      <c r="S282" s="14"/>
    </row>
    <row r="283" spans="2:22">
      <c r="B283" t="str">
        <f>B277</f>
        <v>Opbrengst 2</v>
      </c>
      <c r="C283" t="s">
        <v>144</v>
      </c>
      <c r="D283" s="25">
        <v>0</v>
      </c>
      <c r="E283" s="23"/>
      <c r="F283" s="23"/>
      <c r="G283" s="23"/>
      <c r="J283" s="34"/>
      <c r="L283" s="101"/>
      <c r="O283" s="101"/>
      <c r="S283" s="14"/>
    </row>
    <row r="284" spans="2:22">
      <c r="D284" s="25"/>
      <c r="E284" s="23"/>
      <c r="F284" s="23"/>
      <c r="G284" s="23"/>
      <c r="J284" s="34"/>
      <c r="L284" s="101"/>
      <c r="O284" s="101"/>
      <c r="S284" s="14"/>
    </row>
    <row r="285" spans="2:22" ht="17">
      <c r="B285" s="74" t="s">
        <v>572</v>
      </c>
      <c r="C285" s="68"/>
      <c r="D285" s="68"/>
      <c r="E285" s="68"/>
      <c r="F285" s="68"/>
      <c r="G285" s="68"/>
      <c r="H285" s="68"/>
      <c r="I285" s="68"/>
      <c r="J285" s="152"/>
      <c r="K285" s="68"/>
      <c r="L285" s="92"/>
      <c r="M285" s="68"/>
      <c r="N285" s="68"/>
      <c r="O285" s="92"/>
      <c r="P285" s="68"/>
      <c r="Q285" s="68"/>
      <c r="R285" s="92"/>
      <c r="S285" s="68"/>
      <c r="T285" s="68"/>
      <c r="U285" s="68"/>
      <c r="V285" s="68"/>
    </row>
    <row r="286" spans="2:22">
      <c r="B286" s="1"/>
    </row>
    <row r="287" spans="2:22">
      <c r="B287" s="28" t="s">
        <v>573</v>
      </c>
      <c r="C287" s="22" t="s">
        <v>297</v>
      </c>
      <c r="D287" s="22" t="s">
        <v>114</v>
      </c>
      <c r="E287" s="22" t="s">
        <v>129</v>
      </c>
      <c r="F287" s="22" t="s">
        <v>79</v>
      </c>
      <c r="G287" s="22" t="s">
        <v>126</v>
      </c>
      <c r="H287" s="29" t="s">
        <v>293</v>
      </c>
      <c r="I287" s="29" t="s">
        <v>372</v>
      </c>
      <c r="J287" s="30" t="s">
        <v>373</v>
      </c>
      <c r="K287" s="29" t="s">
        <v>281</v>
      </c>
      <c r="L287" s="30" t="s">
        <v>282</v>
      </c>
      <c r="M287" s="29" t="s">
        <v>283</v>
      </c>
      <c r="N287" s="29" t="s">
        <v>284</v>
      </c>
      <c r="O287" s="30" t="s">
        <v>285</v>
      </c>
      <c r="P287" s="29" t="s">
        <v>286</v>
      </c>
      <c r="Q287" s="29" t="s">
        <v>287</v>
      </c>
      <c r="R287" s="30" t="s">
        <v>288</v>
      </c>
      <c r="S287" s="31" t="s">
        <v>289</v>
      </c>
      <c r="T287" s="84" t="s">
        <v>294</v>
      </c>
      <c r="U287" s="84" t="s">
        <v>374</v>
      </c>
      <c r="V287" s="84" t="s">
        <v>296</v>
      </c>
    </row>
    <row r="288" spans="2:22">
      <c r="B288" s="14" t="s">
        <v>114</v>
      </c>
      <c r="C288" s="14" t="s">
        <v>117</v>
      </c>
      <c r="D288" s="32">
        <v>0</v>
      </c>
      <c r="E288" s="12">
        <v>0</v>
      </c>
      <c r="F288" s="12">
        <v>0</v>
      </c>
      <c r="G288" s="12">
        <v>0</v>
      </c>
      <c r="I288" t="s">
        <v>405</v>
      </c>
      <c r="J288" s="34" t="s">
        <v>405</v>
      </c>
    </row>
    <row r="289" spans="1:22" s="36" customFormat="1">
      <c r="A289"/>
      <c r="B289" s="14" t="s">
        <v>213</v>
      </c>
      <c r="C289" s="14" t="s">
        <v>117</v>
      </c>
      <c r="D289" s="32">
        <v>0</v>
      </c>
      <c r="E289" s="12">
        <f>1.25*F289</f>
        <v>396.25</v>
      </c>
      <c r="F289" s="12">
        <v>317</v>
      </c>
      <c r="G289" s="12">
        <f>0.75*F289</f>
        <v>237.75</v>
      </c>
      <c r="H289" s="14" t="s">
        <v>574</v>
      </c>
      <c r="I289" s="14" t="s">
        <v>400</v>
      </c>
      <c r="J289" s="34">
        <v>2</v>
      </c>
      <c r="K289" t="s">
        <v>418</v>
      </c>
      <c r="L289" s="86" t="s">
        <v>575</v>
      </c>
      <c r="M289" t="s">
        <v>420</v>
      </c>
      <c r="N289"/>
      <c r="O289" s="86"/>
      <c r="P289"/>
      <c r="Q289"/>
      <c r="R289" s="86"/>
      <c r="S289"/>
      <c r="T289"/>
      <c r="U289"/>
      <c r="V289"/>
    </row>
    <row r="290" spans="1:22">
      <c r="B290" s="14" t="s">
        <v>576</v>
      </c>
      <c r="C290" s="14" t="s">
        <v>117</v>
      </c>
      <c r="D290" s="32">
        <v>0</v>
      </c>
      <c r="E290" s="12">
        <f>1.25*E289</f>
        <v>495.3125</v>
      </c>
      <c r="F290" s="12">
        <f>1.25*F289</f>
        <v>396.25</v>
      </c>
      <c r="G290" s="12">
        <f>1.25*G289</f>
        <v>297.1875</v>
      </c>
      <c r="H290" s="14" t="s">
        <v>577</v>
      </c>
      <c r="I290" s="14" t="s">
        <v>400</v>
      </c>
      <c r="J290" s="34">
        <v>2</v>
      </c>
      <c r="K290" t="s">
        <v>358</v>
      </c>
      <c r="L290" s="86" t="s">
        <v>578</v>
      </c>
      <c r="M290" t="s">
        <v>360</v>
      </c>
    </row>
    <row r="291" spans="1:22">
      <c r="B291" s="14" t="s">
        <v>579</v>
      </c>
      <c r="C291" s="14" t="s">
        <v>117</v>
      </c>
      <c r="D291" s="32">
        <v>0</v>
      </c>
      <c r="E291" s="12">
        <v>175</v>
      </c>
      <c r="F291" s="12">
        <v>150</v>
      </c>
      <c r="G291" s="12">
        <v>125</v>
      </c>
      <c r="H291" s="14" t="s">
        <v>574</v>
      </c>
      <c r="I291" s="14" t="s">
        <v>451</v>
      </c>
      <c r="J291" s="34">
        <v>2</v>
      </c>
      <c r="K291" t="s">
        <v>397</v>
      </c>
      <c r="L291" s="86" t="s">
        <v>580</v>
      </c>
      <c r="M291" t="s">
        <v>396</v>
      </c>
    </row>
    <row r="292" spans="1:22">
      <c r="B292" s="14" t="s">
        <v>581</v>
      </c>
      <c r="C292" s="14" t="s">
        <v>117</v>
      </c>
      <c r="D292" s="32">
        <v>0</v>
      </c>
      <c r="E292" s="12">
        <v>125</v>
      </c>
      <c r="F292" s="12">
        <v>110</v>
      </c>
      <c r="G292" s="12">
        <v>100</v>
      </c>
      <c r="H292" s="14" t="s">
        <v>574</v>
      </c>
      <c r="I292" s="14" t="s">
        <v>400</v>
      </c>
      <c r="J292" s="34">
        <v>2</v>
      </c>
      <c r="K292" t="s">
        <v>358</v>
      </c>
      <c r="L292" s="86" t="s">
        <v>582</v>
      </c>
      <c r="M292" t="s">
        <v>360</v>
      </c>
    </row>
    <row r="293" spans="1:22">
      <c r="B293" s="14" t="s">
        <v>157</v>
      </c>
      <c r="C293" s="14" t="s">
        <v>117</v>
      </c>
      <c r="D293" s="32">
        <v>0</v>
      </c>
      <c r="E293" s="12">
        <v>125</v>
      </c>
      <c r="F293" s="12">
        <v>110</v>
      </c>
      <c r="G293" s="12">
        <v>100</v>
      </c>
      <c r="H293" s="14" t="s">
        <v>574</v>
      </c>
      <c r="I293" s="14" t="s">
        <v>400</v>
      </c>
      <c r="J293" s="34">
        <v>2</v>
      </c>
      <c r="K293" t="s">
        <v>358</v>
      </c>
      <c r="L293" s="86" t="s">
        <v>582</v>
      </c>
      <c r="M293" t="s">
        <v>360</v>
      </c>
    </row>
    <row r="294" spans="1:22">
      <c r="B294" s="14" t="s">
        <v>583</v>
      </c>
      <c r="C294" s="14" t="s">
        <v>117</v>
      </c>
      <c r="D294" s="32">
        <v>0</v>
      </c>
      <c r="E294" s="12">
        <v>95</v>
      </c>
      <c r="F294" s="12">
        <v>85</v>
      </c>
      <c r="G294" s="12">
        <v>75</v>
      </c>
      <c r="H294" s="14" t="s">
        <v>574</v>
      </c>
      <c r="I294" s="14" t="s">
        <v>400</v>
      </c>
      <c r="J294" s="34">
        <v>2</v>
      </c>
      <c r="K294" t="s">
        <v>358</v>
      </c>
      <c r="L294" s="86" t="s">
        <v>584</v>
      </c>
      <c r="M294" t="s">
        <v>360</v>
      </c>
      <c r="T294" s="14"/>
      <c r="U294" s="14"/>
      <c r="V294" s="14"/>
    </row>
    <row r="295" spans="1:22" s="14" customFormat="1">
      <c r="A295"/>
      <c r="B295" s="14" t="s">
        <v>585</v>
      </c>
      <c r="C295" s="14" t="s">
        <v>117</v>
      </c>
      <c r="D295" s="32">
        <v>0</v>
      </c>
      <c r="E295" s="12"/>
      <c r="F295" s="12"/>
      <c r="G295" s="12"/>
      <c r="H295"/>
      <c r="I295"/>
      <c r="J295" s="34"/>
      <c r="K295"/>
      <c r="L295" s="86"/>
      <c r="M295"/>
      <c r="N295"/>
      <c r="O295" s="86"/>
      <c r="P295"/>
      <c r="Q295"/>
      <c r="R295" s="86"/>
      <c r="S295"/>
      <c r="T295"/>
      <c r="U295"/>
      <c r="V295"/>
    </row>
    <row r="296" spans="1:22">
      <c r="B296" s="14" t="s">
        <v>586</v>
      </c>
      <c r="C296" s="14" t="s">
        <v>117</v>
      </c>
      <c r="D296" s="32">
        <v>0</v>
      </c>
      <c r="E296" s="12"/>
      <c r="F296" s="12"/>
      <c r="G296" s="12"/>
      <c r="J296" s="34"/>
    </row>
    <row r="297" spans="1:22" s="36" customFormat="1">
      <c r="A297"/>
      <c r="B297"/>
      <c r="C297"/>
      <c r="D297"/>
      <c r="E297"/>
      <c r="F297"/>
      <c r="G297"/>
      <c r="H297"/>
      <c r="I297"/>
      <c r="J297" s="35"/>
      <c r="K297"/>
      <c r="L297" s="86"/>
      <c r="M297"/>
      <c r="N297"/>
      <c r="O297" s="86"/>
      <c r="P297"/>
      <c r="Q297"/>
      <c r="R297" s="86"/>
      <c r="S297"/>
      <c r="T297"/>
      <c r="U297"/>
      <c r="V297"/>
    </row>
    <row r="298" spans="1:22">
      <c r="B298" s="28" t="s">
        <v>587</v>
      </c>
      <c r="C298" s="22" t="s">
        <v>297</v>
      </c>
      <c r="D298" s="22" t="s">
        <v>114</v>
      </c>
      <c r="E298" s="22" t="s">
        <v>129</v>
      </c>
      <c r="F298" s="22" t="s">
        <v>79</v>
      </c>
      <c r="G298" s="22" t="s">
        <v>126</v>
      </c>
      <c r="H298" s="29" t="s">
        <v>293</v>
      </c>
      <c r="I298" s="29" t="s">
        <v>372</v>
      </c>
      <c r="J298" s="30" t="s">
        <v>373</v>
      </c>
      <c r="K298" s="29" t="s">
        <v>281</v>
      </c>
      <c r="L298" s="30" t="s">
        <v>282</v>
      </c>
      <c r="M298" s="29" t="s">
        <v>283</v>
      </c>
      <c r="N298" s="29" t="s">
        <v>284</v>
      </c>
      <c r="O298" s="30" t="s">
        <v>285</v>
      </c>
      <c r="P298" s="29" t="s">
        <v>286</v>
      </c>
      <c r="Q298" s="29" t="s">
        <v>287</v>
      </c>
      <c r="R298" s="30" t="s">
        <v>288</v>
      </c>
      <c r="S298" s="31" t="s">
        <v>289</v>
      </c>
      <c r="T298" s="84" t="s">
        <v>294</v>
      </c>
      <c r="U298" s="84" t="s">
        <v>374</v>
      </c>
      <c r="V298" s="84" t="s">
        <v>296</v>
      </c>
    </row>
    <row r="299" spans="1:22">
      <c r="B299" s="14" t="str">
        <f t="shared" ref="B299:B307" si="55">B288</f>
        <v>Geen</v>
      </c>
      <c r="C299" s="14" t="s">
        <v>116</v>
      </c>
      <c r="D299" s="3">
        <v>0</v>
      </c>
      <c r="E299" s="26">
        <v>0</v>
      </c>
      <c r="F299" s="26">
        <v>0</v>
      </c>
      <c r="G299" s="26">
        <v>0</v>
      </c>
      <c r="I299" t="s">
        <v>405</v>
      </c>
      <c r="J299" s="34" t="s">
        <v>405</v>
      </c>
    </row>
    <row r="300" spans="1:22">
      <c r="B300" s="14" t="str">
        <f t="shared" si="55"/>
        <v>Veldhakselaar standaard</v>
      </c>
      <c r="C300" s="14" t="s">
        <v>116</v>
      </c>
      <c r="D300" s="3">
        <v>0</v>
      </c>
      <c r="E300" s="157">
        <v>1</v>
      </c>
      <c r="F300" s="157">
        <v>0.83</v>
      </c>
      <c r="G300" s="157">
        <v>0.75</v>
      </c>
      <c r="H300" s="14"/>
      <c r="I300" s="14" t="s">
        <v>400</v>
      </c>
      <c r="J300" s="34">
        <v>2</v>
      </c>
      <c r="K300" t="s">
        <v>418</v>
      </c>
      <c r="L300" s="86" t="s">
        <v>588</v>
      </c>
      <c r="M300" t="s">
        <v>420</v>
      </c>
    </row>
    <row r="301" spans="1:22">
      <c r="B301" s="14" t="str">
        <f t="shared" si="55"/>
        <v xml:space="preserve">Veldhakselaar wetland </v>
      </c>
      <c r="C301" s="14" t="s">
        <v>116</v>
      </c>
      <c r="D301" s="3">
        <v>0</v>
      </c>
      <c r="E301" s="157">
        <v>1</v>
      </c>
      <c r="F301" s="157">
        <v>0.83</v>
      </c>
      <c r="G301" s="157">
        <v>0.75</v>
      </c>
      <c r="H301" t="s">
        <v>589</v>
      </c>
      <c r="I301" s="14" t="s">
        <v>400</v>
      </c>
      <c r="J301" s="34">
        <v>2</v>
      </c>
      <c r="K301" t="s">
        <v>358</v>
      </c>
      <c r="L301" s="86" t="s">
        <v>590</v>
      </c>
      <c r="M301" t="s">
        <v>360</v>
      </c>
    </row>
    <row r="302" spans="1:22">
      <c r="B302" s="14" t="str">
        <f t="shared" si="55"/>
        <v xml:space="preserve">Klepelbak wetland </v>
      </c>
      <c r="C302" s="14" t="s">
        <v>116</v>
      </c>
      <c r="D302" s="3">
        <v>0</v>
      </c>
      <c r="E302" s="26">
        <v>5</v>
      </c>
      <c r="F302" s="26">
        <v>4</v>
      </c>
      <c r="G302" s="26">
        <v>3</v>
      </c>
      <c r="I302" s="14" t="s">
        <v>451</v>
      </c>
      <c r="J302" s="34">
        <v>2</v>
      </c>
      <c r="K302" t="s">
        <v>397</v>
      </c>
      <c r="L302" s="86" t="s">
        <v>591</v>
      </c>
      <c r="M302" t="s">
        <v>396</v>
      </c>
    </row>
    <row r="303" spans="1:22" s="36" customFormat="1">
      <c r="A303"/>
      <c r="B303" s="14" t="str">
        <f t="shared" si="55"/>
        <v xml:space="preserve">Maai-zuigcombinatie wetland </v>
      </c>
      <c r="C303" s="14" t="s">
        <v>116</v>
      </c>
      <c r="D303" s="3">
        <v>0</v>
      </c>
      <c r="E303" s="156">
        <v>5</v>
      </c>
      <c r="F303" s="156">
        <v>4</v>
      </c>
      <c r="G303" s="156">
        <v>3</v>
      </c>
      <c r="H303" t="s">
        <v>592</v>
      </c>
      <c r="I303" s="14" t="s">
        <v>400</v>
      </c>
      <c r="J303" s="34">
        <v>2</v>
      </c>
      <c r="K303" t="s">
        <v>358</v>
      </c>
      <c r="L303" s="86" t="s">
        <v>592</v>
      </c>
      <c r="M303" t="s">
        <v>360</v>
      </c>
      <c r="N303"/>
      <c r="O303" s="86"/>
      <c r="P303"/>
      <c r="Q303"/>
      <c r="R303" s="86"/>
      <c r="S303"/>
      <c r="T303"/>
      <c r="U303"/>
      <c r="V303"/>
    </row>
    <row r="304" spans="1:22">
      <c r="B304" s="14" t="str">
        <f t="shared" si="55"/>
        <v>Riet oogstmachine (op rupsbanden)</v>
      </c>
      <c r="C304" s="14" t="s">
        <v>116</v>
      </c>
      <c r="D304" s="3">
        <v>0</v>
      </c>
      <c r="E304" s="156">
        <v>5</v>
      </c>
      <c r="F304" s="156">
        <v>4</v>
      </c>
      <c r="G304" s="156">
        <v>3</v>
      </c>
      <c r="H304" t="s">
        <v>592</v>
      </c>
      <c r="I304" s="14" t="s">
        <v>400</v>
      </c>
      <c r="J304" s="34">
        <v>2</v>
      </c>
      <c r="K304" t="s">
        <v>358</v>
      </c>
      <c r="L304" s="86" t="s">
        <v>592</v>
      </c>
      <c r="M304" t="s">
        <v>360</v>
      </c>
    </row>
    <row r="305" spans="1:22">
      <c r="B305" s="14" t="str">
        <f t="shared" si="55"/>
        <v>Maai-korfcombinatie</v>
      </c>
      <c r="C305" s="14" t="s">
        <v>116</v>
      </c>
      <c r="D305" s="3">
        <v>0</v>
      </c>
      <c r="E305" s="156">
        <v>6</v>
      </c>
      <c r="F305" s="156">
        <v>5</v>
      </c>
      <c r="G305" s="156">
        <v>4</v>
      </c>
      <c r="H305" t="s">
        <v>593</v>
      </c>
      <c r="I305" s="14" t="s">
        <v>400</v>
      </c>
      <c r="J305" s="34">
        <v>2</v>
      </c>
      <c r="K305" t="s">
        <v>358</v>
      </c>
      <c r="L305" s="86" t="s">
        <v>593</v>
      </c>
      <c r="M305" t="s">
        <v>360</v>
      </c>
      <c r="T305" s="14"/>
      <c r="U305" s="14"/>
      <c r="V305" s="14"/>
    </row>
    <row r="306" spans="1:22">
      <c r="B306" s="14" t="str">
        <f t="shared" si="55"/>
        <v>Alternatief 1</v>
      </c>
      <c r="C306" s="14" t="s">
        <v>116</v>
      </c>
      <c r="D306" s="3">
        <v>0</v>
      </c>
      <c r="E306" s="26"/>
      <c r="F306" s="26"/>
      <c r="G306" s="26"/>
      <c r="J306" s="34"/>
    </row>
    <row r="307" spans="1:22">
      <c r="B307" s="14" t="str">
        <f t="shared" si="55"/>
        <v>Alternatief 2</v>
      </c>
      <c r="C307" s="14" t="s">
        <v>116</v>
      </c>
      <c r="D307" s="3">
        <v>0</v>
      </c>
      <c r="E307" s="26"/>
      <c r="F307" s="26"/>
      <c r="G307" s="26"/>
      <c r="J307" s="34"/>
    </row>
    <row r="309" spans="1:22">
      <c r="B309" s="28" t="s">
        <v>594</v>
      </c>
      <c r="C309" s="22" t="s">
        <v>297</v>
      </c>
      <c r="D309" s="22" t="s">
        <v>114</v>
      </c>
      <c r="E309" s="22" t="s">
        <v>129</v>
      </c>
      <c r="F309" s="22" t="s">
        <v>79</v>
      </c>
      <c r="G309" s="22" t="s">
        <v>126</v>
      </c>
      <c r="H309" s="29" t="s">
        <v>293</v>
      </c>
      <c r="I309" s="29" t="s">
        <v>372</v>
      </c>
      <c r="J309" s="30" t="s">
        <v>373</v>
      </c>
      <c r="K309" s="29" t="s">
        <v>281</v>
      </c>
      <c r="L309" s="30" t="s">
        <v>282</v>
      </c>
      <c r="M309" s="29" t="s">
        <v>283</v>
      </c>
      <c r="N309" s="29" t="s">
        <v>284</v>
      </c>
      <c r="O309" s="30" t="s">
        <v>285</v>
      </c>
      <c r="P309" s="29" t="s">
        <v>286</v>
      </c>
      <c r="Q309" s="29" t="s">
        <v>287</v>
      </c>
      <c r="R309" s="30" t="s">
        <v>288</v>
      </c>
      <c r="S309" s="31" t="s">
        <v>289</v>
      </c>
      <c r="T309" s="84" t="s">
        <v>294</v>
      </c>
      <c r="U309" s="84" t="s">
        <v>374</v>
      </c>
      <c r="V309" s="84" t="s">
        <v>296</v>
      </c>
    </row>
    <row r="310" spans="1:22" s="36" customFormat="1">
      <c r="A310"/>
      <c r="B310" s="14" t="s">
        <v>595</v>
      </c>
      <c r="C310" s="14" t="s">
        <v>117</v>
      </c>
      <c r="D310" s="12">
        <v>0</v>
      </c>
      <c r="E310" s="12">
        <v>45</v>
      </c>
      <c r="F310" s="12">
        <v>35</v>
      </c>
      <c r="G310" s="12">
        <v>25</v>
      </c>
      <c r="H310" s="14" t="s">
        <v>574</v>
      </c>
      <c r="I310" s="14" t="s">
        <v>400</v>
      </c>
      <c r="J310" s="34">
        <v>2</v>
      </c>
      <c r="K310" t="s">
        <v>358</v>
      </c>
      <c r="L310" s="86" t="s">
        <v>596</v>
      </c>
      <c r="M310" t="s">
        <v>360</v>
      </c>
      <c r="N310"/>
      <c r="O310" s="86"/>
      <c r="P310"/>
      <c r="Q310"/>
      <c r="R310" s="86"/>
      <c r="S310"/>
      <c r="T310"/>
      <c r="U310"/>
      <c r="V310"/>
    </row>
    <row r="311" spans="1:22" s="36" customFormat="1">
      <c r="A311"/>
      <c r="B311" s="14" t="s">
        <v>597</v>
      </c>
      <c r="C311" s="14" t="s">
        <v>117</v>
      </c>
      <c r="D311" s="12">
        <v>0</v>
      </c>
      <c r="E311" s="12">
        <v>25</v>
      </c>
      <c r="F311" s="12">
        <v>10</v>
      </c>
      <c r="G311" s="12">
        <v>5</v>
      </c>
      <c r="H311" s="14" t="s">
        <v>574</v>
      </c>
      <c r="I311" s="14" t="s">
        <v>400</v>
      </c>
      <c r="J311" s="34">
        <v>2</v>
      </c>
      <c r="K311" t="s">
        <v>358</v>
      </c>
      <c r="L311" s="101" t="s">
        <v>598</v>
      </c>
      <c r="M311" t="s">
        <v>360</v>
      </c>
      <c r="N311"/>
      <c r="O311" s="86"/>
      <c r="P311"/>
      <c r="Q311"/>
      <c r="R311" s="86"/>
      <c r="S311"/>
      <c r="T311"/>
      <c r="U311"/>
      <c r="V311"/>
    </row>
    <row r="312" spans="1:22">
      <c r="B312" s="14" t="s">
        <v>599</v>
      </c>
      <c r="C312" s="14" t="s">
        <v>117</v>
      </c>
      <c r="D312" s="12">
        <v>0</v>
      </c>
      <c r="E312" s="12">
        <v>45</v>
      </c>
      <c r="F312" s="12">
        <v>35</v>
      </c>
      <c r="G312" s="12">
        <v>25</v>
      </c>
      <c r="H312" s="14" t="s">
        <v>574</v>
      </c>
      <c r="I312" s="14" t="s">
        <v>400</v>
      </c>
      <c r="J312" s="34">
        <v>2</v>
      </c>
      <c r="K312" t="s">
        <v>358</v>
      </c>
      <c r="L312" s="86" t="s">
        <v>596</v>
      </c>
      <c r="M312" t="s">
        <v>360</v>
      </c>
    </row>
    <row r="313" spans="1:22">
      <c r="B313" s="14" t="s">
        <v>118</v>
      </c>
      <c r="C313" s="14"/>
      <c r="D313" s="11">
        <f>SUBTOTAL(109,HarvestCost11[Geen])</f>
        <v>0</v>
      </c>
      <c r="E313" s="11">
        <f>SUBTOTAL(109,HarvestCost11[Waarde MAX])</f>
        <v>115</v>
      </c>
      <c r="F313" s="11">
        <f>SUBTOTAL(109,HarvestCost11[Waarde GEM])</f>
        <v>80</v>
      </c>
      <c r="G313" s="11">
        <f>SUBTOTAL(109,HarvestCost11[Waarde MIN])</f>
        <v>55</v>
      </c>
    </row>
    <row r="314" spans="1:22">
      <c r="B314" s="1"/>
    </row>
    <row r="315" spans="1:22">
      <c r="B315" s="28" t="s">
        <v>600</v>
      </c>
      <c r="C315" s="22" t="s">
        <v>297</v>
      </c>
      <c r="D315" s="22" t="s">
        <v>114</v>
      </c>
      <c r="E315" s="22" t="s">
        <v>129</v>
      </c>
      <c r="F315" s="22" t="s">
        <v>79</v>
      </c>
      <c r="G315" s="22" t="s">
        <v>126</v>
      </c>
      <c r="H315" s="29" t="s">
        <v>293</v>
      </c>
      <c r="I315" s="29" t="s">
        <v>372</v>
      </c>
      <c r="J315" s="30" t="s">
        <v>373</v>
      </c>
      <c r="K315" s="29" t="s">
        <v>281</v>
      </c>
      <c r="L315" s="30" t="s">
        <v>282</v>
      </c>
      <c r="M315" s="29" t="s">
        <v>283</v>
      </c>
      <c r="N315" s="29" t="s">
        <v>284</v>
      </c>
      <c r="O315" s="30" t="s">
        <v>285</v>
      </c>
      <c r="P315" s="29" t="s">
        <v>286</v>
      </c>
      <c r="Q315" s="29" t="s">
        <v>287</v>
      </c>
      <c r="R315" s="30" t="s">
        <v>288</v>
      </c>
      <c r="S315" s="31" t="s">
        <v>289</v>
      </c>
      <c r="T315" s="84" t="s">
        <v>294</v>
      </c>
      <c r="U315" s="84" t="s">
        <v>374</v>
      </c>
      <c r="V315" s="84" t="s">
        <v>296</v>
      </c>
    </row>
    <row r="316" spans="1:22">
      <c r="B316" s="14" t="s">
        <v>114</v>
      </c>
      <c r="C316" s="14" t="s">
        <v>117</v>
      </c>
      <c r="D316" s="32">
        <v>0</v>
      </c>
      <c r="E316" s="26">
        <v>0</v>
      </c>
      <c r="F316" s="26">
        <v>0</v>
      </c>
      <c r="G316" s="26">
        <v>0</v>
      </c>
      <c r="I316" t="s">
        <v>405</v>
      </c>
      <c r="J316" s="34" t="s">
        <v>405</v>
      </c>
    </row>
    <row r="317" spans="1:22">
      <c r="B317" s="14" t="s">
        <v>601</v>
      </c>
      <c r="C317" s="14" t="s">
        <v>117</v>
      </c>
      <c r="D317" s="32">
        <v>0</v>
      </c>
      <c r="E317" s="156">
        <v>185</v>
      </c>
      <c r="F317" s="156">
        <v>175</v>
      </c>
      <c r="G317" s="156">
        <v>165</v>
      </c>
      <c r="H317" s="14" t="s">
        <v>574</v>
      </c>
      <c r="I317" s="14" t="s">
        <v>400</v>
      </c>
      <c r="J317" s="34">
        <v>2</v>
      </c>
      <c r="K317" t="s">
        <v>358</v>
      </c>
      <c r="L317" s="86" t="s">
        <v>602</v>
      </c>
      <c r="M317" t="s">
        <v>360</v>
      </c>
    </row>
    <row r="318" spans="1:22" s="36" customFormat="1">
      <c r="A318"/>
      <c r="B318" s="14" t="str">
        <f>B294</f>
        <v>Maai-korfcombinatie</v>
      </c>
      <c r="C318" s="14" t="s">
        <v>117</v>
      </c>
      <c r="D318" s="32">
        <v>0</v>
      </c>
      <c r="E318" s="156">
        <f>E294</f>
        <v>95</v>
      </c>
      <c r="F318" s="156">
        <f>F294</f>
        <v>85</v>
      </c>
      <c r="G318" s="156">
        <f>G294</f>
        <v>75</v>
      </c>
      <c r="H318" s="14" t="str">
        <f>H293</f>
        <v>Machine &amp; arbeid per uur</v>
      </c>
      <c r="I318" s="14" t="str">
        <f>I294</f>
        <v>Enige aanname</v>
      </c>
      <c r="J318" s="34">
        <f>J294</f>
        <v>2</v>
      </c>
      <c r="K318" t="str">
        <f>K294</f>
        <v>Van de Crommert Projects &amp; Innovations, 2021</v>
      </c>
      <c r="L318" s="86" t="str">
        <f>L294</f>
        <v>95/85/75</v>
      </c>
      <c r="M318" t="str">
        <f>M294</f>
        <v>Expert - Interview</v>
      </c>
      <c r="N318"/>
      <c r="O318" s="86"/>
      <c r="P318"/>
      <c r="Q318"/>
      <c r="R318" s="86"/>
      <c r="S318"/>
      <c r="T318"/>
      <c r="U318"/>
      <c r="V318"/>
    </row>
    <row r="319" spans="1:22">
      <c r="B319" s="14" t="s">
        <v>603</v>
      </c>
      <c r="C319" s="14" t="s">
        <v>117</v>
      </c>
      <c r="D319" s="32">
        <v>0</v>
      </c>
      <c r="E319" s="156">
        <v>95</v>
      </c>
      <c r="F319" s="156">
        <v>85</v>
      </c>
      <c r="G319" s="156">
        <v>75</v>
      </c>
      <c r="H319" s="14" t="s">
        <v>574</v>
      </c>
      <c r="I319" s="14" t="s">
        <v>400</v>
      </c>
      <c r="J319" s="34">
        <v>2</v>
      </c>
      <c r="K319" t="s">
        <v>358</v>
      </c>
      <c r="L319" s="86" t="s">
        <v>584</v>
      </c>
      <c r="M319" t="s">
        <v>360</v>
      </c>
      <c r="T319" s="14"/>
      <c r="U319" s="14"/>
      <c r="V319" s="14"/>
    </row>
    <row r="320" spans="1:22">
      <c r="B320" s="14" t="s">
        <v>111</v>
      </c>
      <c r="C320" s="14" t="s">
        <v>117</v>
      </c>
      <c r="D320" s="32">
        <v>0</v>
      </c>
      <c r="E320" s="26">
        <v>30</v>
      </c>
      <c r="F320" s="26">
        <v>20</v>
      </c>
      <c r="G320" s="26">
        <v>15</v>
      </c>
      <c r="J320" s="34"/>
    </row>
    <row r="321" spans="2:22">
      <c r="B321" s="14" t="s">
        <v>586</v>
      </c>
      <c r="C321" s="14" t="s">
        <v>117</v>
      </c>
      <c r="D321" s="32">
        <v>0</v>
      </c>
      <c r="E321" s="26">
        <v>0</v>
      </c>
      <c r="F321" s="26">
        <v>0</v>
      </c>
      <c r="G321" s="26">
        <v>0</v>
      </c>
      <c r="J321" s="34"/>
    </row>
    <row r="323" spans="2:22">
      <c r="B323" s="28" t="s">
        <v>604</v>
      </c>
      <c r="C323" s="22" t="s">
        <v>297</v>
      </c>
      <c r="D323" s="22" t="s">
        <v>114</v>
      </c>
      <c r="E323" s="22" t="s">
        <v>129</v>
      </c>
      <c r="F323" s="22" t="s">
        <v>79</v>
      </c>
      <c r="G323" s="22" t="s">
        <v>126</v>
      </c>
      <c r="H323" s="29" t="s">
        <v>293</v>
      </c>
      <c r="I323" s="29" t="s">
        <v>372</v>
      </c>
      <c r="J323" s="30" t="s">
        <v>373</v>
      </c>
      <c r="K323" s="29" t="s">
        <v>281</v>
      </c>
      <c r="L323" s="30" t="s">
        <v>282</v>
      </c>
      <c r="M323" s="29" t="s">
        <v>283</v>
      </c>
      <c r="N323" s="29" t="s">
        <v>284</v>
      </c>
      <c r="O323" s="30" t="s">
        <v>285</v>
      </c>
      <c r="P323" s="29" t="s">
        <v>286</v>
      </c>
      <c r="Q323" s="29" t="s">
        <v>287</v>
      </c>
      <c r="R323" s="30" t="s">
        <v>288</v>
      </c>
      <c r="S323" s="31" t="s">
        <v>289</v>
      </c>
      <c r="T323" s="84" t="s">
        <v>294</v>
      </c>
      <c r="U323" s="84" t="s">
        <v>374</v>
      </c>
      <c r="V323" s="84" t="s">
        <v>296</v>
      </c>
    </row>
    <row r="324" spans="2:22">
      <c r="B324" s="14" t="s">
        <v>114</v>
      </c>
      <c r="C324" s="14" t="s">
        <v>116</v>
      </c>
      <c r="D324" s="3">
        <v>0</v>
      </c>
      <c r="E324" s="26">
        <v>0</v>
      </c>
      <c r="F324" s="26">
        <v>0</v>
      </c>
      <c r="G324" s="26">
        <v>0</v>
      </c>
      <c r="I324" t="s">
        <v>405</v>
      </c>
      <c r="J324" s="34" t="s">
        <v>405</v>
      </c>
    </row>
    <row r="325" spans="2:22">
      <c r="B325" s="14" t="s">
        <v>601</v>
      </c>
      <c r="C325" s="14" t="s">
        <v>116</v>
      </c>
      <c r="D325" s="3">
        <v>0</v>
      </c>
      <c r="E325" s="157">
        <v>1</v>
      </c>
      <c r="F325" s="157">
        <v>0.83</v>
      </c>
      <c r="G325" s="157">
        <v>0.75</v>
      </c>
      <c r="H325" t="s">
        <v>589</v>
      </c>
      <c r="I325" s="14" t="s">
        <v>400</v>
      </c>
      <c r="J325" s="34">
        <v>2</v>
      </c>
      <c r="K325" t="s">
        <v>358</v>
      </c>
      <c r="L325" s="86" t="s">
        <v>590</v>
      </c>
      <c r="M325" t="s">
        <v>360</v>
      </c>
    </row>
    <row r="326" spans="2:22">
      <c r="B326" s="14" t="str">
        <f>B305</f>
        <v>Maai-korfcombinatie</v>
      </c>
      <c r="C326" s="14" t="s">
        <v>116</v>
      </c>
      <c r="D326" s="3">
        <v>0</v>
      </c>
      <c r="E326" s="156">
        <f t="shared" ref="E326:M326" si="56">E305</f>
        <v>6</v>
      </c>
      <c r="F326" s="156">
        <f t="shared" si="56"/>
        <v>5</v>
      </c>
      <c r="G326" s="156">
        <f t="shared" si="56"/>
        <v>4</v>
      </c>
      <c r="H326" t="str">
        <f t="shared" si="56"/>
        <v>Iets hoger als klepelbak wetland</v>
      </c>
      <c r="I326" s="14" t="str">
        <f t="shared" si="56"/>
        <v>Enige aanname</v>
      </c>
      <c r="J326" s="34">
        <f t="shared" si="56"/>
        <v>2</v>
      </c>
      <c r="K326" t="str">
        <f t="shared" si="56"/>
        <v>Van de Crommert Projects &amp; Innovations, 2021</v>
      </c>
      <c r="L326" s="86" t="str">
        <f t="shared" si="56"/>
        <v>Iets hoger als klepelbak wetland</v>
      </c>
      <c r="M326" t="str">
        <f t="shared" si="56"/>
        <v>Expert - Interview</v>
      </c>
    </row>
    <row r="327" spans="2:22">
      <c r="B327" s="14" t="s">
        <v>603</v>
      </c>
      <c r="C327" s="14" t="s">
        <v>116</v>
      </c>
      <c r="D327" s="3">
        <v>0</v>
      </c>
      <c r="E327" s="156">
        <v>5</v>
      </c>
      <c r="F327" s="156">
        <v>4</v>
      </c>
      <c r="G327" s="156">
        <v>3</v>
      </c>
      <c r="H327" t="s">
        <v>592</v>
      </c>
      <c r="I327" s="14" t="s">
        <v>400</v>
      </c>
      <c r="J327" s="34">
        <v>2</v>
      </c>
      <c r="K327" t="s">
        <v>358</v>
      </c>
      <c r="L327" s="86" t="s">
        <v>592</v>
      </c>
      <c r="M327" t="s">
        <v>360</v>
      </c>
      <c r="T327" s="14"/>
      <c r="U327" s="14"/>
      <c r="V327" s="14"/>
    </row>
    <row r="328" spans="2:22">
      <c r="B328" s="14" t="s">
        <v>111</v>
      </c>
      <c r="C328" s="14" t="s">
        <v>116</v>
      </c>
      <c r="D328" s="3">
        <v>0</v>
      </c>
      <c r="E328" s="26">
        <v>40</v>
      </c>
      <c r="F328" s="26">
        <v>30</v>
      </c>
      <c r="G328" s="26">
        <v>20</v>
      </c>
      <c r="J328" s="34"/>
    </row>
    <row r="329" spans="2:22">
      <c r="B329" s="14" t="s">
        <v>586</v>
      </c>
      <c r="C329" s="14" t="s">
        <v>116</v>
      </c>
      <c r="D329" s="3">
        <v>0</v>
      </c>
      <c r="E329" s="26">
        <v>0</v>
      </c>
      <c r="F329" s="26">
        <v>0</v>
      </c>
      <c r="G329" s="26">
        <v>0</v>
      </c>
      <c r="J329" s="34"/>
    </row>
    <row r="331" spans="2:22">
      <c r="B331" s="28" t="s">
        <v>605</v>
      </c>
      <c r="C331" s="22" t="s">
        <v>297</v>
      </c>
      <c r="D331" s="22" t="s">
        <v>114</v>
      </c>
      <c r="E331" s="22" t="s">
        <v>129</v>
      </c>
      <c r="F331" s="22" t="s">
        <v>79</v>
      </c>
      <c r="G331" s="22" t="s">
        <v>126</v>
      </c>
      <c r="H331" s="29" t="s">
        <v>293</v>
      </c>
      <c r="I331" s="29" t="s">
        <v>372</v>
      </c>
      <c r="J331" s="30" t="s">
        <v>373</v>
      </c>
      <c r="K331" s="29" t="s">
        <v>281</v>
      </c>
      <c r="L331" s="30" t="s">
        <v>282</v>
      </c>
      <c r="M331" s="29" t="s">
        <v>283</v>
      </c>
      <c r="N331" s="29" t="s">
        <v>284</v>
      </c>
      <c r="O331" s="30" t="s">
        <v>285</v>
      </c>
      <c r="P331" s="29" t="s">
        <v>286</v>
      </c>
      <c r="Q331" s="29" t="s">
        <v>287</v>
      </c>
      <c r="R331" s="95" t="s">
        <v>288</v>
      </c>
      <c r="S331" s="31" t="s">
        <v>289</v>
      </c>
      <c r="T331" s="84" t="s">
        <v>294</v>
      </c>
      <c r="U331" s="84" t="s">
        <v>374</v>
      </c>
      <c r="V331" s="84" t="s">
        <v>296</v>
      </c>
    </row>
    <row r="332" spans="2:22">
      <c r="B332" s="14" t="s">
        <v>595</v>
      </c>
      <c r="C332" s="14" t="s">
        <v>117</v>
      </c>
      <c r="D332" s="12">
        <v>0</v>
      </c>
      <c r="E332" s="12">
        <v>45</v>
      </c>
      <c r="F332" s="12">
        <v>35</v>
      </c>
      <c r="G332" s="12">
        <v>25</v>
      </c>
      <c r="H332" s="14" t="s">
        <v>574</v>
      </c>
      <c r="I332" s="14" t="s">
        <v>400</v>
      </c>
      <c r="J332" s="34">
        <v>2</v>
      </c>
      <c r="K332" t="s">
        <v>358</v>
      </c>
      <c r="L332" s="86" t="s">
        <v>596</v>
      </c>
      <c r="M332" t="s">
        <v>360</v>
      </c>
    </row>
    <row r="333" spans="2:22">
      <c r="B333" s="14" t="s">
        <v>597</v>
      </c>
      <c r="C333" s="14" t="s">
        <v>117</v>
      </c>
      <c r="D333" s="12">
        <v>0</v>
      </c>
      <c r="E333" s="12">
        <v>25</v>
      </c>
      <c r="F333" s="12">
        <v>10</v>
      </c>
      <c r="G333" s="12">
        <v>5</v>
      </c>
      <c r="H333" s="14" t="s">
        <v>574</v>
      </c>
      <c r="I333" s="14" t="s">
        <v>400</v>
      </c>
      <c r="J333" s="34">
        <v>2</v>
      </c>
      <c r="K333" t="s">
        <v>358</v>
      </c>
      <c r="L333" s="101" t="s">
        <v>598</v>
      </c>
      <c r="M333" t="s">
        <v>360</v>
      </c>
    </row>
    <row r="334" spans="2:22">
      <c r="B334" s="14" t="s">
        <v>599</v>
      </c>
      <c r="C334" s="14" t="s">
        <v>117</v>
      </c>
      <c r="D334" s="12">
        <v>0</v>
      </c>
      <c r="E334" s="12">
        <v>45</v>
      </c>
      <c r="F334" s="12">
        <v>35</v>
      </c>
      <c r="G334" s="12">
        <v>25</v>
      </c>
      <c r="H334" s="14" t="s">
        <v>574</v>
      </c>
      <c r="I334" s="14" t="s">
        <v>400</v>
      </c>
      <c r="J334" s="34">
        <v>2</v>
      </c>
      <c r="K334" t="s">
        <v>358</v>
      </c>
      <c r="L334" s="86" t="s">
        <v>596</v>
      </c>
      <c r="M334" t="s">
        <v>360</v>
      </c>
      <c r="T334" s="36"/>
      <c r="U334" s="36"/>
      <c r="V334" s="36"/>
    </row>
    <row r="335" spans="2:22">
      <c r="B335" s="14" t="s">
        <v>118</v>
      </c>
      <c r="C335" s="14"/>
      <c r="D335" s="11">
        <f>SUBTOTAL(109,HarvestCost21[Geen])</f>
        <v>0</v>
      </c>
      <c r="E335" s="11">
        <f>SUBTOTAL(109,HarvestCost21[Waarde MAX])</f>
        <v>115</v>
      </c>
      <c r="F335" s="11">
        <f>SUBTOTAL(109,HarvestCost21[Waarde GEM])</f>
        <v>80</v>
      </c>
      <c r="G335" s="11">
        <f>SUBTOTAL(109,HarvestCost21[Waarde MIN])</f>
        <v>55</v>
      </c>
    </row>
    <row r="338" spans="2:22" ht="17">
      <c r="B338" s="74" t="s">
        <v>606</v>
      </c>
      <c r="C338" s="68"/>
      <c r="D338" s="68"/>
      <c r="E338" s="68"/>
      <c r="F338" s="68"/>
      <c r="G338" s="68"/>
      <c r="H338" s="68"/>
      <c r="I338" s="68"/>
      <c r="J338" s="152"/>
      <c r="K338" s="68"/>
      <c r="L338" s="92"/>
      <c r="M338" s="68"/>
      <c r="N338" s="68"/>
      <c r="O338" s="92"/>
      <c r="P338" s="68"/>
      <c r="Q338" s="68"/>
      <c r="R338" s="92"/>
      <c r="S338" s="68"/>
      <c r="T338" s="68"/>
      <c r="U338" s="68"/>
      <c r="V338" s="68"/>
    </row>
    <row r="339" spans="2:22">
      <c r="B339" s="1"/>
    </row>
    <row r="340" spans="2:22">
      <c r="B340" s="17" t="s">
        <v>607</v>
      </c>
      <c r="C340" s="19" t="s">
        <v>297</v>
      </c>
      <c r="D340" s="19" t="s">
        <v>114</v>
      </c>
      <c r="E340" s="19" t="s">
        <v>129</v>
      </c>
      <c r="F340" s="19" t="s">
        <v>79</v>
      </c>
      <c r="G340" s="19" t="s">
        <v>126</v>
      </c>
      <c r="H340" s="18" t="s">
        <v>293</v>
      </c>
      <c r="I340" s="18" t="s">
        <v>372</v>
      </c>
      <c r="J340" s="20" t="s">
        <v>373</v>
      </c>
      <c r="K340" s="18" t="s">
        <v>281</v>
      </c>
      <c r="L340" s="20" t="s">
        <v>282</v>
      </c>
      <c r="M340" s="18" t="s">
        <v>283</v>
      </c>
      <c r="N340" s="18" t="s">
        <v>284</v>
      </c>
      <c r="O340" s="20" t="s">
        <v>285</v>
      </c>
      <c r="P340" s="18" t="s">
        <v>286</v>
      </c>
      <c r="Q340" s="18" t="s">
        <v>287</v>
      </c>
      <c r="R340" s="20" t="s">
        <v>288</v>
      </c>
      <c r="S340" s="21" t="s">
        <v>289</v>
      </c>
      <c r="T340" s="83" t="s">
        <v>294</v>
      </c>
      <c r="U340" s="83" t="s">
        <v>374</v>
      </c>
      <c r="V340" s="83" t="s">
        <v>296</v>
      </c>
    </row>
    <row r="341" spans="2:22">
      <c r="B341" s="14" t="s">
        <v>114</v>
      </c>
      <c r="C341" s="14" t="s">
        <v>176</v>
      </c>
      <c r="D341" s="27">
        <v>0</v>
      </c>
      <c r="E341" s="24">
        <v>0</v>
      </c>
      <c r="F341" s="24">
        <v>0</v>
      </c>
      <c r="G341" s="24">
        <v>0</v>
      </c>
      <c r="I341" t="s">
        <v>405</v>
      </c>
      <c r="J341" s="33" t="s">
        <v>405</v>
      </c>
    </row>
    <row r="342" spans="2:22">
      <c r="B342" s="14" t="s">
        <v>218</v>
      </c>
      <c r="C342" s="14" t="s">
        <v>176</v>
      </c>
      <c r="D342" s="27">
        <v>0</v>
      </c>
      <c r="E342" s="12">
        <v>40</v>
      </c>
      <c r="F342" s="12">
        <v>35</v>
      </c>
      <c r="G342" s="12">
        <v>30</v>
      </c>
      <c r="I342" t="s">
        <v>376</v>
      </c>
      <c r="J342" s="33">
        <v>3</v>
      </c>
      <c r="K342" t="s">
        <v>418</v>
      </c>
      <c r="L342" s="96" t="s">
        <v>608</v>
      </c>
      <c r="M342" t="s">
        <v>420</v>
      </c>
      <c r="T342" s="36"/>
      <c r="U342" s="36"/>
      <c r="V342" s="36"/>
    </row>
    <row r="343" spans="2:22">
      <c r="B343" s="14" t="s">
        <v>609</v>
      </c>
      <c r="C343" s="14" t="s">
        <v>176</v>
      </c>
      <c r="D343" s="27">
        <v>0</v>
      </c>
      <c r="E343" s="12">
        <v>103</v>
      </c>
      <c r="F343" s="12">
        <v>83</v>
      </c>
      <c r="G343" s="12">
        <v>63</v>
      </c>
      <c r="H343" t="s">
        <v>610</v>
      </c>
      <c r="I343" t="s">
        <v>376</v>
      </c>
      <c r="J343" s="33">
        <v>3</v>
      </c>
      <c r="K343" t="s">
        <v>418</v>
      </c>
      <c r="L343" s="93" t="s">
        <v>611</v>
      </c>
      <c r="M343" t="s">
        <v>420</v>
      </c>
    </row>
    <row r="344" spans="2:22">
      <c r="B344" s="14" t="s">
        <v>612</v>
      </c>
      <c r="C344" s="14" t="s">
        <v>176</v>
      </c>
      <c r="D344" s="27">
        <v>0</v>
      </c>
      <c r="E344" s="12">
        <v>25</v>
      </c>
      <c r="F344" s="12">
        <v>20</v>
      </c>
      <c r="G344" s="12">
        <v>15</v>
      </c>
      <c r="I344" s="14" t="s">
        <v>400</v>
      </c>
      <c r="J344" s="34">
        <v>2</v>
      </c>
      <c r="K344" t="s">
        <v>358</v>
      </c>
      <c r="L344" s="93" t="s">
        <v>613</v>
      </c>
      <c r="M344" t="s">
        <v>614</v>
      </c>
    </row>
    <row r="345" spans="2:22">
      <c r="B345" s="14" t="s">
        <v>197</v>
      </c>
      <c r="C345" s="14" t="s">
        <v>176</v>
      </c>
      <c r="D345" s="27">
        <v>0</v>
      </c>
      <c r="E345" s="24">
        <v>270</v>
      </c>
      <c r="F345" s="24">
        <v>125</v>
      </c>
      <c r="G345" s="24">
        <v>50</v>
      </c>
      <c r="H345" t="s">
        <v>615</v>
      </c>
      <c r="I345" s="14" t="s">
        <v>400</v>
      </c>
      <c r="J345" s="34">
        <v>2</v>
      </c>
      <c r="K345" t="s">
        <v>358</v>
      </c>
      <c r="L345" s="86" t="s">
        <v>616</v>
      </c>
      <c r="M345" t="s">
        <v>614</v>
      </c>
    </row>
    <row r="346" spans="2:22">
      <c r="B346" s="14" t="s">
        <v>175</v>
      </c>
      <c r="C346" s="14" t="s">
        <v>176</v>
      </c>
      <c r="D346" s="27">
        <v>0</v>
      </c>
      <c r="E346" s="24">
        <v>0</v>
      </c>
      <c r="F346" s="24">
        <v>0</v>
      </c>
      <c r="G346" s="24">
        <v>0</v>
      </c>
      <c r="H346" t="s">
        <v>617</v>
      </c>
      <c r="I346" s="14" t="s">
        <v>400</v>
      </c>
      <c r="J346" s="34">
        <v>2</v>
      </c>
      <c r="K346" t="s">
        <v>358</v>
      </c>
      <c r="L346" s="86" t="s">
        <v>618</v>
      </c>
      <c r="M346" t="s">
        <v>614</v>
      </c>
    </row>
    <row r="348" spans="2:22" s="36" customFormat="1">
      <c r="B348" s="17" t="s">
        <v>619</v>
      </c>
      <c r="C348" s="19" t="s">
        <v>297</v>
      </c>
      <c r="D348" s="19" t="s">
        <v>114</v>
      </c>
      <c r="E348" s="19" t="s">
        <v>129</v>
      </c>
      <c r="F348" s="19" t="s">
        <v>79</v>
      </c>
      <c r="G348" s="19" t="s">
        <v>126</v>
      </c>
      <c r="H348" s="18" t="s">
        <v>293</v>
      </c>
      <c r="I348" s="18" t="s">
        <v>372</v>
      </c>
      <c r="J348" s="20" t="s">
        <v>373</v>
      </c>
      <c r="K348" s="18" t="s">
        <v>281</v>
      </c>
      <c r="L348" s="20" t="s">
        <v>282</v>
      </c>
      <c r="M348" s="18" t="s">
        <v>283</v>
      </c>
      <c r="N348" s="18" t="s">
        <v>284</v>
      </c>
      <c r="O348" s="20" t="s">
        <v>285</v>
      </c>
      <c r="P348" s="18" t="s">
        <v>286</v>
      </c>
      <c r="Q348" s="18" t="s">
        <v>287</v>
      </c>
      <c r="R348" s="20" t="s">
        <v>288</v>
      </c>
      <c r="S348" s="21" t="s">
        <v>289</v>
      </c>
      <c r="T348" s="83" t="s">
        <v>294</v>
      </c>
      <c r="U348" s="83" t="s">
        <v>374</v>
      </c>
      <c r="V348" s="83" t="s">
        <v>296</v>
      </c>
    </row>
    <row r="349" spans="2:22">
      <c r="B349" s="14" t="s">
        <v>114</v>
      </c>
      <c r="C349" s="14" t="s">
        <v>176</v>
      </c>
      <c r="D349" s="27">
        <v>0</v>
      </c>
      <c r="E349" s="24">
        <v>0</v>
      </c>
      <c r="F349" s="24">
        <v>0</v>
      </c>
      <c r="G349" s="24">
        <v>0</v>
      </c>
      <c r="I349" t="s">
        <v>405</v>
      </c>
      <c r="J349" s="33" t="s">
        <v>405</v>
      </c>
    </row>
    <row r="350" spans="2:22">
      <c r="B350" s="14" t="s">
        <v>620</v>
      </c>
      <c r="C350" s="14" t="s">
        <v>176</v>
      </c>
      <c r="D350" s="27">
        <v>0</v>
      </c>
      <c r="E350" s="24">
        <v>3</v>
      </c>
      <c r="F350" s="24">
        <v>1</v>
      </c>
      <c r="G350" s="24">
        <v>1</v>
      </c>
      <c r="I350" t="s">
        <v>376</v>
      </c>
      <c r="J350" s="33">
        <v>3</v>
      </c>
      <c r="K350" t="s">
        <v>418</v>
      </c>
      <c r="L350" s="101" t="s">
        <v>621</v>
      </c>
      <c r="M350" t="s">
        <v>420</v>
      </c>
      <c r="T350" s="14"/>
      <c r="U350" s="14"/>
      <c r="V350" s="14"/>
    </row>
    <row r="351" spans="2:22">
      <c r="B351" s="14" t="s">
        <v>622</v>
      </c>
      <c r="C351" s="14" t="s">
        <v>176</v>
      </c>
      <c r="D351" s="27">
        <v>0</v>
      </c>
      <c r="E351" s="24">
        <v>14</v>
      </c>
      <c r="F351" s="24">
        <v>8</v>
      </c>
      <c r="G351" s="24">
        <v>5</v>
      </c>
      <c r="I351" t="s">
        <v>376</v>
      </c>
      <c r="J351" s="33">
        <v>3</v>
      </c>
      <c r="K351" t="s">
        <v>418</v>
      </c>
      <c r="L351" s="101" t="s">
        <v>623</v>
      </c>
      <c r="M351" t="s">
        <v>420</v>
      </c>
    </row>
    <row r="352" spans="2:22">
      <c r="B352" s="14" t="s">
        <v>219</v>
      </c>
      <c r="C352" s="14" t="s">
        <v>176</v>
      </c>
      <c r="D352" s="27">
        <v>0</v>
      </c>
      <c r="E352" s="24">
        <f>E351*1.5</f>
        <v>21</v>
      </c>
      <c r="F352" s="24">
        <f>F351*1.5</f>
        <v>12</v>
      </c>
      <c r="G352" s="24">
        <f>G351*1.5</f>
        <v>7.5</v>
      </c>
      <c r="H352" t="s">
        <v>624</v>
      </c>
      <c r="I352" s="14" t="s">
        <v>400</v>
      </c>
      <c r="J352" s="34">
        <v>2</v>
      </c>
      <c r="K352" t="s">
        <v>358</v>
      </c>
      <c r="L352" s="86" t="s">
        <v>625</v>
      </c>
      <c r="M352" t="s">
        <v>360</v>
      </c>
      <c r="T352" s="36"/>
      <c r="U352" s="36"/>
      <c r="V352" s="36"/>
    </row>
    <row r="353" spans="2:22">
      <c r="B353" s="14" t="s">
        <v>626</v>
      </c>
      <c r="C353" s="14" t="s">
        <v>176</v>
      </c>
      <c r="D353" s="25">
        <v>0</v>
      </c>
      <c r="E353" s="24">
        <v>2</v>
      </c>
      <c r="F353" s="24">
        <v>1.5</v>
      </c>
      <c r="G353" s="24">
        <v>1</v>
      </c>
      <c r="I353" s="14" t="s">
        <v>400</v>
      </c>
      <c r="J353" s="34">
        <v>2</v>
      </c>
      <c r="K353" t="s">
        <v>358</v>
      </c>
      <c r="L353" s="101" t="s">
        <v>627</v>
      </c>
      <c r="M353" t="s">
        <v>360</v>
      </c>
    </row>
    <row r="354" spans="2:22">
      <c r="B354" s="14" t="s">
        <v>628</v>
      </c>
      <c r="C354" s="14" t="s">
        <v>176</v>
      </c>
      <c r="D354" s="25">
        <v>0</v>
      </c>
      <c r="E354" s="24">
        <v>2.5</v>
      </c>
      <c r="F354" s="24">
        <v>2</v>
      </c>
      <c r="G354" s="24">
        <v>1.5</v>
      </c>
      <c r="H354" s="14"/>
      <c r="I354" s="14" t="s">
        <v>400</v>
      </c>
      <c r="J354" s="34">
        <v>2</v>
      </c>
      <c r="K354" t="s">
        <v>358</v>
      </c>
      <c r="L354" s="171" t="s">
        <v>629</v>
      </c>
      <c r="M354" t="s">
        <v>360</v>
      </c>
      <c r="N354" s="14"/>
      <c r="O354" s="93"/>
      <c r="P354" s="14"/>
      <c r="Q354" s="14"/>
      <c r="R354" s="93"/>
      <c r="S354" s="14"/>
    </row>
    <row r="355" spans="2:22">
      <c r="B355" s="14" t="s">
        <v>178</v>
      </c>
      <c r="C355" s="14" t="s">
        <v>176</v>
      </c>
      <c r="D355" s="25">
        <v>0</v>
      </c>
      <c r="E355" s="24">
        <v>14</v>
      </c>
      <c r="F355" s="24">
        <v>8</v>
      </c>
      <c r="G355" s="24">
        <v>5</v>
      </c>
      <c r="H355" s="14"/>
      <c r="I355" s="14" t="s">
        <v>400</v>
      </c>
      <c r="J355" s="34">
        <v>2</v>
      </c>
      <c r="K355" t="s">
        <v>358</v>
      </c>
      <c r="L355" s="171" t="s">
        <v>623</v>
      </c>
      <c r="M355" t="s">
        <v>360</v>
      </c>
      <c r="N355" s="14"/>
      <c r="O355" s="93"/>
      <c r="P355" s="14"/>
      <c r="Q355" s="14"/>
      <c r="R355" s="93"/>
      <c r="S355" s="14"/>
    </row>
    <row r="357" spans="2:22">
      <c r="B357" s="17" t="s">
        <v>630</v>
      </c>
      <c r="C357" s="19" t="s">
        <v>297</v>
      </c>
      <c r="D357" s="19" t="s">
        <v>114</v>
      </c>
      <c r="E357" s="19" t="s">
        <v>129</v>
      </c>
      <c r="F357" s="19" t="s">
        <v>79</v>
      </c>
      <c r="G357" s="19" t="s">
        <v>126</v>
      </c>
      <c r="H357" s="18" t="s">
        <v>293</v>
      </c>
      <c r="I357" s="18" t="s">
        <v>372</v>
      </c>
      <c r="J357" s="20" t="s">
        <v>373</v>
      </c>
      <c r="K357" s="18" t="s">
        <v>281</v>
      </c>
      <c r="L357" s="20" t="s">
        <v>282</v>
      </c>
      <c r="M357" s="18" t="s">
        <v>283</v>
      </c>
      <c r="N357" s="18" t="s">
        <v>284</v>
      </c>
      <c r="O357" s="20" t="s">
        <v>285</v>
      </c>
      <c r="P357" s="18" t="s">
        <v>286</v>
      </c>
      <c r="Q357" s="18" t="s">
        <v>287</v>
      </c>
      <c r="R357" s="20" t="s">
        <v>288</v>
      </c>
      <c r="S357" s="21" t="s">
        <v>289</v>
      </c>
      <c r="T357" s="83" t="s">
        <v>294</v>
      </c>
      <c r="U357" s="83" t="s">
        <v>374</v>
      </c>
      <c r="V357" s="83" t="s">
        <v>296</v>
      </c>
    </row>
    <row r="358" spans="2:22">
      <c r="B358" t="s">
        <v>211</v>
      </c>
      <c r="C358" t="s">
        <v>182</v>
      </c>
      <c r="D358" s="5">
        <v>0</v>
      </c>
      <c r="E358" s="3">
        <v>205</v>
      </c>
      <c r="F358" s="3">
        <f>126*1.47</f>
        <v>185.22</v>
      </c>
      <c r="G358" s="3">
        <v>160</v>
      </c>
      <c r="H358" t="s">
        <v>631</v>
      </c>
      <c r="I358" t="s">
        <v>400</v>
      </c>
      <c r="J358" s="33">
        <v>2</v>
      </c>
      <c r="K358" t="s">
        <v>632</v>
      </c>
      <c r="L358" s="86" t="s">
        <v>633</v>
      </c>
      <c r="M358" t="s">
        <v>634</v>
      </c>
    </row>
    <row r="359" spans="2:22">
      <c r="B359" t="s">
        <v>635</v>
      </c>
      <c r="C359" t="s">
        <v>182</v>
      </c>
      <c r="D359" s="5">
        <v>0</v>
      </c>
      <c r="E359" s="3">
        <v>295</v>
      </c>
      <c r="F359" s="3">
        <f>126*2.12</f>
        <v>267.12</v>
      </c>
      <c r="G359" s="3">
        <v>230</v>
      </c>
      <c r="H359" t="s">
        <v>636</v>
      </c>
      <c r="I359" t="s">
        <v>400</v>
      </c>
      <c r="J359" s="33">
        <v>2</v>
      </c>
      <c r="K359" t="s">
        <v>632</v>
      </c>
      <c r="L359" s="86" t="s">
        <v>633</v>
      </c>
      <c r="M359" t="s">
        <v>634</v>
      </c>
    </row>
    <row r="360" spans="2:22">
      <c r="B360" t="s">
        <v>637</v>
      </c>
      <c r="C360" t="s">
        <v>182</v>
      </c>
      <c r="D360" s="5">
        <v>0</v>
      </c>
      <c r="E360" s="3">
        <v>284</v>
      </c>
      <c r="F360" s="3">
        <f>185*1.26</f>
        <v>233.1</v>
      </c>
      <c r="G360" s="3">
        <v>207</v>
      </c>
      <c r="H360" t="s">
        <v>638</v>
      </c>
      <c r="I360" t="s">
        <v>400</v>
      </c>
      <c r="J360" s="33">
        <v>2</v>
      </c>
      <c r="K360" t="s">
        <v>632</v>
      </c>
      <c r="L360" s="86" t="s">
        <v>639</v>
      </c>
      <c r="M360" t="s">
        <v>634</v>
      </c>
    </row>
    <row r="361" spans="2:22">
      <c r="B361" t="s">
        <v>181</v>
      </c>
      <c r="C361" t="s">
        <v>182</v>
      </c>
      <c r="D361" s="5">
        <v>0</v>
      </c>
      <c r="E361" s="3">
        <v>365</v>
      </c>
      <c r="F361" s="3">
        <f>185*1.62</f>
        <v>299.70000000000005</v>
      </c>
      <c r="G361" s="3">
        <v>267</v>
      </c>
      <c r="H361" t="s">
        <v>640</v>
      </c>
      <c r="I361" t="s">
        <v>400</v>
      </c>
      <c r="J361" s="33">
        <v>2</v>
      </c>
      <c r="K361" t="s">
        <v>632</v>
      </c>
      <c r="L361" s="86" t="s">
        <v>639</v>
      </c>
      <c r="M361" t="s">
        <v>634</v>
      </c>
    </row>
    <row r="363" spans="2:22">
      <c r="B363" s="17" t="s">
        <v>641</v>
      </c>
      <c r="C363" s="19" t="s">
        <v>297</v>
      </c>
      <c r="D363" s="19" t="s">
        <v>114</v>
      </c>
      <c r="E363" s="19" t="s">
        <v>129</v>
      </c>
      <c r="F363" s="19" t="s">
        <v>79</v>
      </c>
      <c r="G363" s="19" t="s">
        <v>126</v>
      </c>
      <c r="H363" s="18" t="s">
        <v>293</v>
      </c>
      <c r="I363" s="18" t="s">
        <v>372</v>
      </c>
      <c r="J363" s="20" t="s">
        <v>373</v>
      </c>
      <c r="K363" s="18" t="s">
        <v>281</v>
      </c>
      <c r="L363" s="20" t="s">
        <v>282</v>
      </c>
      <c r="M363" s="18" t="s">
        <v>283</v>
      </c>
      <c r="N363" s="18" t="s">
        <v>284</v>
      </c>
      <c r="O363" s="20" t="s">
        <v>285</v>
      </c>
      <c r="P363" s="18" t="s">
        <v>286</v>
      </c>
      <c r="Q363" s="18" t="s">
        <v>287</v>
      </c>
      <c r="R363" s="20" t="s">
        <v>288</v>
      </c>
      <c r="S363" s="21" t="s">
        <v>289</v>
      </c>
      <c r="T363" s="83" t="s">
        <v>294</v>
      </c>
      <c r="U363" s="83" t="s">
        <v>374</v>
      </c>
      <c r="V363" s="83" t="s">
        <v>296</v>
      </c>
    </row>
    <row r="364" spans="2:22">
      <c r="B364" s="14" t="s">
        <v>114</v>
      </c>
      <c r="C364" s="14" t="s">
        <v>176</v>
      </c>
      <c r="D364" s="27">
        <v>0</v>
      </c>
      <c r="E364" s="24">
        <v>0</v>
      </c>
      <c r="F364" s="24">
        <v>0</v>
      </c>
      <c r="G364" s="24">
        <v>0</v>
      </c>
      <c r="I364" t="s">
        <v>405</v>
      </c>
      <c r="J364" s="33" t="s">
        <v>405</v>
      </c>
    </row>
    <row r="365" spans="2:22">
      <c r="B365" s="14" t="s">
        <v>609</v>
      </c>
      <c r="C365" s="14" t="s">
        <v>176</v>
      </c>
      <c r="D365" s="27">
        <v>0</v>
      </c>
      <c r="E365" s="12">
        <v>103</v>
      </c>
      <c r="F365" s="12">
        <v>83</v>
      </c>
      <c r="G365" s="12">
        <v>63</v>
      </c>
      <c r="H365" t="s">
        <v>610</v>
      </c>
      <c r="I365" t="s">
        <v>376</v>
      </c>
      <c r="J365" s="33">
        <v>3</v>
      </c>
      <c r="K365" t="s">
        <v>418</v>
      </c>
      <c r="L365" s="93" t="s">
        <v>611</v>
      </c>
      <c r="M365" t="s">
        <v>420</v>
      </c>
      <c r="T365" s="36"/>
      <c r="U365" s="36"/>
      <c r="V365" s="36"/>
    </row>
    <row r="366" spans="2:22">
      <c r="B366" s="14" t="s">
        <v>612</v>
      </c>
      <c r="C366" s="14" t="s">
        <v>176</v>
      </c>
      <c r="D366" s="27">
        <v>0</v>
      </c>
      <c r="E366" s="12">
        <v>25</v>
      </c>
      <c r="F366" s="12">
        <v>20</v>
      </c>
      <c r="G366" s="12">
        <v>15</v>
      </c>
      <c r="I366" s="14" t="s">
        <v>400</v>
      </c>
      <c r="J366" s="34">
        <v>2</v>
      </c>
      <c r="K366" t="s">
        <v>358</v>
      </c>
      <c r="L366" s="171" t="s">
        <v>613</v>
      </c>
      <c r="M366" t="s">
        <v>614</v>
      </c>
    </row>
    <row r="367" spans="2:22">
      <c r="B367" s="14" t="s">
        <v>642</v>
      </c>
      <c r="C367" s="14" t="s">
        <v>176</v>
      </c>
      <c r="D367" s="27">
        <v>0</v>
      </c>
      <c r="E367" s="24">
        <f>E366*1.25</f>
        <v>31.25</v>
      </c>
      <c r="F367" s="24">
        <f>F366*1.25</f>
        <v>25</v>
      </c>
      <c r="G367" s="24">
        <f>G366*1.25</f>
        <v>18.75</v>
      </c>
      <c r="H367" t="s">
        <v>643</v>
      </c>
      <c r="I367" s="14" t="s">
        <v>400</v>
      </c>
      <c r="J367" s="34">
        <v>2</v>
      </c>
      <c r="K367" t="s">
        <v>358</v>
      </c>
      <c r="L367" s="171" t="s">
        <v>644</v>
      </c>
      <c r="M367" t="s">
        <v>614</v>
      </c>
    </row>
    <row r="368" spans="2:22">
      <c r="B368" s="14" t="s">
        <v>197</v>
      </c>
      <c r="C368" s="14" t="s">
        <v>176</v>
      </c>
      <c r="D368" s="27">
        <v>0</v>
      </c>
      <c r="E368" s="24">
        <f>(10/3*85)+10*10</f>
        <v>383.33333333333337</v>
      </c>
      <c r="F368" s="24">
        <f>(10/4*85)+10*10</f>
        <v>312.5</v>
      </c>
      <c r="G368" s="24">
        <f>(10/5*85)+10*10</f>
        <v>270</v>
      </c>
      <c r="H368" t="s">
        <v>645</v>
      </c>
      <c r="I368" t="s">
        <v>400</v>
      </c>
      <c r="J368" s="33">
        <v>2</v>
      </c>
      <c r="K368" t="s">
        <v>358</v>
      </c>
      <c r="L368" s="86" t="s">
        <v>616</v>
      </c>
      <c r="M368" t="s">
        <v>614</v>
      </c>
    </row>
    <row r="369" spans="2:22">
      <c r="B369" s="14"/>
      <c r="C369" s="14"/>
      <c r="D369" s="27"/>
      <c r="E369" s="24"/>
      <c r="F369" s="24"/>
      <c r="G369" s="24"/>
      <c r="J369" s="34"/>
      <c r="K369" s="14"/>
    </row>
    <row r="370" spans="2:22">
      <c r="B370" s="17" t="s">
        <v>646</v>
      </c>
      <c r="C370" s="19" t="s">
        <v>297</v>
      </c>
      <c r="D370" s="19" t="s">
        <v>114</v>
      </c>
      <c r="E370" s="19" t="s">
        <v>129</v>
      </c>
      <c r="F370" s="19" t="s">
        <v>79</v>
      </c>
      <c r="G370" s="19" t="s">
        <v>126</v>
      </c>
      <c r="H370" s="18" t="s">
        <v>293</v>
      </c>
      <c r="I370" s="18" t="s">
        <v>372</v>
      </c>
      <c r="J370" s="20" t="s">
        <v>373</v>
      </c>
      <c r="K370" s="18" t="s">
        <v>281</v>
      </c>
      <c r="L370" s="20" t="s">
        <v>282</v>
      </c>
      <c r="M370" s="18" t="s">
        <v>283</v>
      </c>
      <c r="N370" s="18" t="s">
        <v>284</v>
      </c>
      <c r="O370" s="20" t="s">
        <v>285</v>
      </c>
      <c r="P370" s="18" t="s">
        <v>286</v>
      </c>
      <c r="Q370" s="18" t="s">
        <v>287</v>
      </c>
      <c r="R370" s="20" t="s">
        <v>288</v>
      </c>
      <c r="S370" s="21" t="s">
        <v>289</v>
      </c>
      <c r="T370" s="83" t="s">
        <v>294</v>
      </c>
      <c r="U370" s="83" t="s">
        <v>374</v>
      </c>
      <c r="V370" s="83" t="s">
        <v>296</v>
      </c>
    </row>
    <row r="371" spans="2:22">
      <c r="B371" t="s">
        <v>203</v>
      </c>
      <c r="C371" t="s">
        <v>647</v>
      </c>
      <c r="D371" s="5">
        <v>0</v>
      </c>
      <c r="E371" s="3">
        <v>1000</v>
      </c>
      <c r="F371" s="3">
        <v>500</v>
      </c>
      <c r="G371" s="3">
        <v>65</v>
      </c>
      <c r="I371" t="s">
        <v>400</v>
      </c>
      <c r="J371" s="33">
        <v>2</v>
      </c>
      <c r="K371" s="14" t="s">
        <v>353</v>
      </c>
      <c r="L371" s="86" t="s">
        <v>648</v>
      </c>
      <c r="M371" s="14" t="s">
        <v>352</v>
      </c>
    </row>
    <row r="372" spans="2:22">
      <c r="B372" t="s">
        <v>649</v>
      </c>
      <c r="C372" t="s">
        <v>647</v>
      </c>
      <c r="D372" s="5">
        <v>0</v>
      </c>
      <c r="E372" s="3">
        <v>1500</v>
      </c>
      <c r="F372" s="3">
        <v>750</v>
      </c>
      <c r="G372" s="3">
        <v>100</v>
      </c>
      <c r="I372" t="s">
        <v>400</v>
      </c>
      <c r="J372" s="33">
        <v>2</v>
      </c>
      <c r="K372" s="14" t="s">
        <v>353</v>
      </c>
      <c r="L372" s="86" t="s">
        <v>650</v>
      </c>
      <c r="M372" s="14" t="s">
        <v>352</v>
      </c>
    </row>
    <row r="373" spans="2:22" s="36" customFormat="1">
      <c r="B373" t="s">
        <v>651</v>
      </c>
      <c r="C373" t="s">
        <v>647</v>
      </c>
      <c r="D373" s="5">
        <v>0</v>
      </c>
      <c r="E373" s="3">
        <v>2000</v>
      </c>
      <c r="F373" s="3">
        <v>1000</v>
      </c>
      <c r="G373" s="3">
        <v>160</v>
      </c>
      <c r="H373"/>
      <c r="I373" t="s">
        <v>400</v>
      </c>
      <c r="J373" s="33">
        <v>2</v>
      </c>
      <c r="K373" s="14" t="s">
        <v>353</v>
      </c>
      <c r="L373" s="86" t="s">
        <v>652</v>
      </c>
      <c r="M373" s="14" t="s">
        <v>352</v>
      </c>
      <c r="N373"/>
      <c r="O373" s="86"/>
      <c r="P373"/>
      <c r="Q373"/>
      <c r="R373" s="86"/>
      <c r="S373"/>
      <c r="T373"/>
      <c r="U373"/>
      <c r="V373"/>
    </row>
    <row r="375" spans="2:22">
      <c r="B375" s="17" t="s">
        <v>653</v>
      </c>
      <c r="C375" s="19" t="s">
        <v>297</v>
      </c>
      <c r="D375" s="19" t="s">
        <v>114</v>
      </c>
      <c r="E375" s="19" t="s">
        <v>129</v>
      </c>
      <c r="F375" s="19" t="s">
        <v>79</v>
      </c>
      <c r="G375" s="19" t="s">
        <v>126</v>
      </c>
      <c r="H375" s="18" t="s">
        <v>293</v>
      </c>
      <c r="I375" s="18" t="s">
        <v>372</v>
      </c>
      <c r="J375" s="20" t="s">
        <v>373</v>
      </c>
      <c r="K375" s="18" t="s">
        <v>281</v>
      </c>
      <c r="L375" s="20" t="s">
        <v>282</v>
      </c>
      <c r="M375" s="18" t="s">
        <v>283</v>
      </c>
      <c r="N375" s="18" t="s">
        <v>284</v>
      </c>
      <c r="O375" s="20" t="s">
        <v>285</v>
      </c>
      <c r="P375" s="18" t="s">
        <v>286</v>
      </c>
      <c r="Q375" s="18" t="s">
        <v>287</v>
      </c>
      <c r="R375" s="20" t="s">
        <v>288</v>
      </c>
      <c r="S375" s="21" t="s">
        <v>289</v>
      </c>
      <c r="T375" s="83" t="s">
        <v>294</v>
      </c>
      <c r="U375" s="83" t="s">
        <v>374</v>
      </c>
      <c r="V375" s="83" t="s">
        <v>296</v>
      </c>
    </row>
    <row r="376" spans="2:22">
      <c r="B376" s="14" t="s">
        <v>114</v>
      </c>
      <c r="C376" s="14" t="s">
        <v>176</v>
      </c>
      <c r="D376" s="27">
        <v>0</v>
      </c>
      <c r="E376" s="24">
        <v>0</v>
      </c>
      <c r="F376" s="24">
        <v>0</v>
      </c>
      <c r="G376" s="24">
        <v>0</v>
      </c>
      <c r="I376" t="s">
        <v>405</v>
      </c>
      <c r="J376" s="33" t="s">
        <v>405</v>
      </c>
    </row>
    <row r="377" spans="2:22">
      <c r="B377" s="14" t="s">
        <v>626</v>
      </c>
      <c r="C377" s="14" t="s">
        <v>176</v>
      </c>
      <c r="D377" s="27">
        <v>0</v>
      </c>
      <c r="E377" s="24">
        <v>2</v>
      </c>
      <c r="F377" s="24">
        <v>1.5</v>
      </c>
      <c r="G377" s="24">
        <v>1</v>
      </c>
      <c r="I377" s="14" t="s">
        <v>400</v>
      </c>
      <c r="J377" s="34">
        <v>2</v>
      </c>
      <c r="K377" t="s">
        <v>358</v>
      </c>
      <c r="L377" s="101" t="s">
        <v>627</v>
      </c>
      <c r="M377" t="s">
        <v>360</v>
      </c>
    </row>
    <row r="378" spans="2:22">
      <c r="B378" s="14" t="s">
        <v>628</v>
      </c>
      <c r="C378" s="14" t="s">
        <v>176</v>
      </c>
      <c r="D378" s="27">
        <v>0</v>
      </c>
      <c r="E378" s="24">
        <v>2.5</v>
      </c>
      <c r="F378" s="24">
        <v>2</v>
      </c>
      <c r="G378" s="24">
        <v>1.5</v>
      </c>
      <c r="H378" s="14"/>
      <c r="I378" s="14" t="s">
        <v>400</v>
      </c>
      <c r="J378" s="34">
        <v>2</v>
      </c>
      <c r="K378" t="s">
        <v>358</v>
      </c>
      <c r="L378" s="171" t="s">
        <v>629</v>
      </c>
      <c r="M378" t="s">
        <v>360</v>
      </c>
      <c r="T378" s="36"/>
      <c r="U378" s="36"/>
      <c r="V378" s="36"/>
    </row>
    <row r="379" spans="2:22">
      <c r="B379" s="14" t="s">
        <v>178</v>
      </c>
      <c r="C379" s="14" t="s">
        <v>176</v>
      </c>
      <c r="D379" s="25">
        <v>0</v>
      </c>
      <c r="E379" s="24">
        <v>14</v>
      </c>
      <c r="F379" s="24">
        <v>8</v>
      </c>
      <c r="G379" s="24">
        <v>5</v>
      </c>
      <c r="H379" s="14"/>
      <c r="I379" s="14" t="s">
        <v>400</v>
      </c>
      <c r="J379" s="34">
        <v>2</v>
      </c>
      <c r="K379" t="s">
        <v>358</v>
      </c>
      <c r="L379" s="171" t="s">
        <v>623</v>
      </c>
      <c r="M379" t="s">
        <v>360</v>
      </c>
      <c r="T379" s="36"/>
      <c r="U379" s="36"/>
      <c r="V379" s="36"/>
    </row>
    <row r="380" spans="2:22">
      <c r="B380" s="14" t="s">
        <v>201</v>
      </c>
      <c r="C380" s="14" t="s">
        <v>176</v>
      </c>
      <c r="D380" s="27">
        <v>0</v>
      </c>
      <c r="E380" s="24">
        <v>14</v>
      </c>
      <c r="F380" s="24">
        <v>8</v>
      </c>
      <c r="G380" s="24">
        <v>5</v>
      </c>
      <c r="H380" s="14"/>
      <c r="I380" s="14" t="s">
        <v>400</v>
      </c>
      <c r="J380" s="34">
        <v>2</v>
      </c>
      <c r="K380" t="s">
        <v>358</v>
      </c>
      <c r="L380" s="171" t="s">
        <v>623</v>
      </c>
      <c r="M380" t="s">
        <v>360</v>
      </c>
    </row>
    <row r="381" spans="2:22">
      <c r="B381" s="14"/>
      <c r="C381" s="14"/>
      <c r="D381" s="27"/>
      <c r="E381" s="24"/>
      <c r="F381" s="24"/>
      <c r="G381" s="24"/>
      <c r="J381" s="34"/>
    </row>
    <row r="382" spans="2:22">
      <c r="B382" s="17" t="s">
        <v>654</v>
      </c>
      <c r="C382" s="19" t="s">
        <v>297</v>
      </c>
      <c r="D382" s="19" t="s">
        <v>114</v>
      </c>
      <c r="E382" s="19" t="s">
        <v>129</v>
      </c>
      <c r="F382" s="19" t="s">
        <v>79</v>
      </c>
      <c r="G382" s="19" t="s">
        <v>126</v>
      </c>
      <c r="H382" s="18" t="s">
        <v>293</v>
      </c>
      <c r="I382" s="18" t="s">
        <v>372</v>
      </c>
      <c r="J382" s="20" t="s">
        <v>373</v>
      </c>
      <c r="K382" s="18" t="s">
        <v>281</v>
      </c>
      <c r="L382" s="20" t="s">
        <v>282</v>
      </c>
      <c r="M382" s="18" t="s">
        <v>283</v>
      </c>
      <c r="N382" s="18" t="s">
        <v>284</v>
      </c>
      <c r="O382" s="20" t="s">
        <v>285</v>
      </c>
      <c r="P382" s="18" t="s">
        <v>286</v>
      </c>
      <c r="Q382" s="18" t="s">
        <v>287</v>
      </c>
      <c r="R382" s="20" t="s">
        <v>288</v>
      </c>
      <c r="S382" s="21" t="s">
        <v>289</v>
      </c>
      <c r="T382" s="83" t="s">
        <v>294</v>
      </c>
      <c r="U382" s="83" t="s">
        <v>374</v>
      </c>
      <c r="V382" s="83" t="s">
        <v>296</v>
      </c>
    </row>
    <row r="383" spans="2:22">
      <c r="B383" s="14" t="s">
        <v>655</v>
      </c>
      <c r="C383" s="14" t="s">
        <v>144</v>
      </c>
      <c r="D383" s="27">
        <v>0</v>
      </c>
      <c r="E383" s="23">
        <v>0.95</v>
      </c>
      <c r="F383" s="23">
        <v>0.9</v>
      </c>
      <c r="G383" s="23">
        <v>0.85</v>
      </c>
      <c r="J383" s="34"/>
      <c r="L383" s="101"/>
      <c r="O383" s="101"/>
    </row>
    <row r="384" spans="2:22">
      <c r="B384" s="14"/>
      <c r="C384" s="14"/>
      <c r="D384" s="27"/>
      <c r="E384" s="24"/>
      <c r="F384" s="24"/>
      <c r="G384" s="24"/>
      <c r="J384" s="34"/>
    </row>
    <row r="385" spans="2:22" ht="17">
      <c r="B385" s="74" t="s">
        <v>656</v>
      </c>
      <c r="C385" s="68"/>
      <c r="D385" s="68"/>
      <c r="E385" s="68"/>
      <c r="F385" s="68"/>
      <c r="G385" s="68"/>
      <c r="H385" s="68"/>
      <c r="I385" s="68"/>
      <c r="J385" s="152"/>
      <c r="K385" s="68"/>
      <c r="L385" s="92"/>
      <c r="M385" s="68"/>
      <c r="N385" s="68"/>
      <c r="O385" s="92"/>
      <c r="P385" s="68"/>
      <c r="Q385" s="68"/>
      <c r="R385" s="92"/>
      <c r="S385" s="68"/>
      <c r="T385" s="68"/>
      <c r="U385" s="68"/>
      <c r="V385" s="68"/>
    </row>
    <row r="386" spans="2:22">
      <c r="B386" s="1"/>
    </row>
    <row r="387" spans="2:22">
      <c r="B387" s="17" t="s">
        <v>657</v>
      </c>
      <c r="C387" s="19" t="s">
        <v>297</v>
      </c>
      <c r="D387" s="19" t="s">
        <v>114</v>
      </c>
      <c r="E387" s="19" t="s">
        <v>129</v>
      </c>
      <c r="F387" s="19" t="s">
        <v>79</v>
      </c>
      <c r="G387" s="19" t="s">
        <v>126</v>
      </c>
      <c r="H387" s="18" t="s">
        <v>293</v>
      </c>
      <c r="I387" s="18" t="s">
        <v>372</v>
      </c>
      <c r="J387" s="153" t="s">
        <v>373</v>
      </c>
      <c r="K387" s="18" t="s">
        <v>281</v>
      </c>
      <c r="L387" s="20" t="s">
        <v>282</v>
      </c>
      <c r="M387" s="18" t="s">
        <v>283</v>
      </c>
      <c r="N387" s="18" t="s">
        <v>284</v>
      </c>
      <c r="O387" s="20" t="s">
        <v>285</v>
      </c>
      <c r="P387" s="18" t="s">
        <v>286</v>
      </c>
      <c r="Q387" s="18" t="s">
        <v>287</v>
      </c>
      <c r="R387" s="20" t="s">
        <v>288</v>
      </c>
      <c r="S387" s="21" t="s">
        <v>289</v>
      </c>
      <c r="T387" s="83" t="s">
        <v>294</v>
      </c>
      <c r="U387" s="83" t="s">
        <v>374</v>
      </c>
      <c r="V387" s="83" t="s">
        <v>296</v>
      </c>
    </row>
    <row r="388" spans="2:22">
      <c r="B388" t="s">
        <v>114</v>
      </c>
      <c r="C388" s="14"/>
      <c r="D388" s="24">
        <v>0</v>
      </c>
      <c r="E388" s="24">
        <v>0</v>
      </c>
      <c r="F388" s="24">
        <v>0</v>
      </c>
      <c r="G388" s="24">
        <v>0</v>
      </c>
      <c r="I388" t="s">
        <v>405</v>
      </c>
      <c r="J388" s="34" t="s">
        <v>405</v>
      </c>
    </row>
    <row r="389" spans="2:22">
      <c r="B389" t="s">
        <v>171</v>
      </c>
      <c r="C389" s="14" t="s">
        <v>172</v>
      </c>
      <c r="D389" s="27">
        <v>0</v>
      </c>
      <c r="E389" s="24">
        <v>0.15</v>
      </c>
      <c r="F389" s="24">
        <v>0.12</v>
      </c>
      <c r="G389" s="24">
        <v>0.1</v>
      </c>
      <c r="I389" s="14" t="s">
        <v>400</v>
      </c>
      <c r="J389" s="51">
        <v>2</v>
      </c>
      <c r="K389" t="s">
        <v>358</v>
      </c>
      <c r="L389" s="86" t="s">
        <v>658</v>
      </c>
      <c r="M389" t="s">
        <v>360</v>
      </c>
    </row>
    <row r="390" spans="2:22">
      <c r="B390" t="s">
        <v>659</v>
      </c>
      <c r="C390" s="14" t="s">
        <v>172</v>
      </c>
      <c r="D390" s="27">
        <v>0</v>
      </c>
      <c r="E390" s="24">
        <v>0.05</v>
      </c>
      <c r="F390" s="24">
        <v>0.04</v>
      </c>
      <c r="G390" s="24">
        <v>0.03</v>
      </c>
      <c r="I390" s="14" t="s">
        <v>400</v>
      </c>
      <c r="J390" s="51">
        <v>2</v>
      </c>
      <c r="K390" t="s">
        <v>358</v>
      </c>
      <c r="L390" s="86" t="s">
        <v>660</v>
      </c>
      <c r="M390" t="s">
        <v>360</v>
      </c>
    </row>
    <row r="391" spans="2:22">
      <c r="C391" s="14"/>
      <c r="D391" s="27"/>
      <c r="E391" s="24"/>
      <c r="F391" s="24"/>
      <c r="G391" s="24"/>
      <c r="H391" s="24"/>
      <c r="I391" s="24"/>
      <c r="J391" s="34"/>
    </row>
    <row r="392" spans="2:22">
      <c r="B392" t="s">
        <v>661</v>
      </c>
      <c r="C392" s="14"/>
      <c r="D392" s="27"/>
      <c r="E392" s="24"/>
      <c r="F392" s="24"/>
      <c r="G392" s="24"/>
      <c r="H392" s="24"/>
      <c r="I392" s="24"/>
      <c r="J392" s="34"/>
    </row>
    <row r="393" spans="2:22">
      <c r="B393" t="s">
        <v>140</v>
      </c>
      <c r="C393" s="14"/>
      <c r="D393" s="27"/>
      <c r="E393" s="24"/>
      <c r="F393" s="24"/>
      <c r="G393" s="24"/>
      <c r="H393" s="24"/>
      <c r="I393" s="24"/>
      <c r="J393" s="34"/>
    </row>
    <row r="394" spans="2:22">
      <c r="B394" t="s">
        <v>216</v>
      </c>
      <c r="C394" s="14"/>
      <c r="D394" s="27"/>
      <c r="E394" s="24"/>
      <c r="F394" s="24"/>
      <c r="G394" s="24"/>
      <c r="H394" s="24"/>
      <c r="I394" s="24"/>
      <c r="J394" s="34"/>
    </row>
    <row r="396" spans="2:22">
      <c r="B396" s="17" t="s">
        <v>662</v>
      </c>
      <c r="C396" s="19" t="s">
        <v>297</v>
      </c>
      <c r="D396" s="19" t="s">
        <v>114</v>
      </c>
      <c r="E396" s="19" t="s">
        <v>129</v>
      </c>
      <c r="F396" s="19" t="s">
        <v>79</v>
      </c>
      <c r="G396" s="19" t="s">
        <v>126</v>
      </c>
      <c r="H396" s="18" t="s">
        <v>293</v>
      </c>
      <c r="I396" s="18" t="s">
        <v>372</v>
      </c>
      <c r="J396" s="153" t="s">
        <v>373</v>
      </c>
      <c r="K396" s="18" t="s">
        <v>281</v>
      </c>
      <c r="L396" s="20" t="s">
        <v>282</v>
      </c>
      <c r="M396" s="18" t="s">
        <v>283</v>
      </c>
      <c r="N396" s="18" t="s">
        <v>284</v>
      </c>
      <c r="O396" s="20" t="s">
        <v>285</v>
      </c>
      <c r="P396" s="18" t="s">
        <v>286</v>
      </c>
      <c r="Q396" s="18" t="s">
        <v>287</v>
      </c>
      <c r="R396" s="20" t="s">
        <v>288</v>
      </c>
      <c r="S396" s="21" t="s">
        <v>289</v>
      </c>
      <c r="T396" s="83" t="s">
        <v>294</v>
      </c>
      <c r="U396" s="83" t="s">
        <v>374</v>
      </c>
      <c r="V396" s="83" t="s">
        <v>296</v>
      </c>
    </row>
    <row r="397" spans="2:22">
      <c r="B397" s="14" t="s">
        <v>114</v>
      </c>
      <c r="C397" s="14" t="s">
        <v>663</v>
      </c>
      <c r="D397" s="24">
        <v>0</v>
      </c>
      <c r="E397" s="24">
        <v>0</v>
      </c>
      <c r="F397" s="24">
        <v>0</v>
      </c>
      <c r="G397" s="24">
        <v>0</v>
      </c>
      <c r="I397" t="s">
        <v>405</v>
      </c>
      <c r="J397" s="34" t="s">
        <v>405</v>
      </c>
    </row>
    <row r="398" spans="2:22">
      <c r="B398" s="14" t="s">
        <v>187</v>
      </c>
      <c r="C398" s="14" t="s">
        <v>663</v>
      </c>
      <c r="D398" s="27">
        <v>0</v>
      </c>
      <c r="E398" s="12">
        <v>600</v>
      </c>
      <c r="F398" s="12">
        <v>550</v>
      </c>
      <c r="G398" s="12">
        <v>500</v>
      </c>
      <c r="I398" s="14" t="s">
        <v>400</v>
      </c>
      <c r="J398" s="51">
        <v>2</v>
      </c>
      <c r="K398" t="s">
        <v>358</v>
      </c>
      <c r="L398" s="86" t="s">
        <v>664</v>
      </c>
      <c r="M398" t="s">
        <v>360</v>
      </c>
    </row>
    <row r="399" spans="2:22">
      <c r="B399" s="14" t="s">
        <v>665</v>
      </c>
      <c r="C399" s="14" t="s">
        <v>663</v>
      </c>
      <c r="D399" s="27">
        <v>0</v>
      </c>
      <c r="E399" s="12">
        <v>500</v>
      </c>
      <c r="F399" s="12">
        <v>450</v>
      </c>
      <c r="G399" s="12">
        <v>400</v>
      </c>
      <c r="I399" s="14" t="s">
        <v>400</v>
      </c>
      <c r="J399" s="51">
        <v>2</v>
      </c>
      <c r="K399" t="s">
        <v>358</v>
      </c>
      <c r="L399" s="86" t="s">
        <v>666</v>
      </c>
      <c r="M399" t="s">
        <v>360</v>
      </c>
    </row>
    <row r="400" spans="2:22">
      <c r="B400" s="14" t="s">
        <v>667</v>
      </c>
      <c r="C400" s="14" t="s">
        <v>663</v>
      </c>
      <c r="D400" s="5">
        <v>0</v>
      </c>
      <c r="E400" s="12">
        <v>500</v>
      </c>
      <c r="F400" s="12">
        <v>400</v>
      </c>
      <c r="G400" s="12">
        <v>300</v>
      </c>
      <c r="H400" t="s">
        <v>668</v>
      </c>
      <c r="I400" s="14" t="s">
        <v>400</v>
      </c>
      <c r="J400" s="51">
        <v>2</v>
      </c>
      <c r="K400" t="s">
        <v>358</v>
      </c>
      <c r="L400" s="86" t="s">
        <v>669</v>
      </c>
      <c r="M400" t="s">
        <v>360</v>
      </c>
      <c r="N400" s="14" t="s">
        <v>670</v>
      </c>
      <c r="O400" s="39" t="s">
        <v>668</v>
      </c>
      <c r="P400" s="14" t="s">
        <v>671</v>
      </c>
    </row>
    <row r="401" spans="2:22">
      <c r="B401" s="14" t="s">
        <v>672</v>
      </c>
      <c r="C401" s="14" t="s">
        <v>663</v>
      </c>
      <c r="D401" s="5">
        <v>0</v>
      </c>
      <c r="E401" s="12">
        <v>500</v>
      </c>
      <c r="F401" s="12">
        <v>400</v>
      </c>
      <c r="G401" s="12">
        <v>300</v>
      </c>
      <c r="H401" t="s">
        <v>673</v>
      </c>
      <c r="I401" t="s">
        <v>309</v>
      </c>
      <c r="J401" s="34">
        <v>1</v>
      </c>
      <c r="K401" t="s">
        <v>397</v>
      </c>
      <c r="L401" s="101" t="s">
        <v>674</v>
      </c>
      <c r="M401" t="s">
        <v>396</v>
      </c>
      <c r="N401" t="s">
        <v>358</v>
      </c>
      <c r="O401" s="86" t="s">
        <v>669</v>
      </c>
      <c r="P401" t="s">
        <v>360</v>
      </c>
    </row>
    <row r="402" spans="2:22">
      <c r="B402" s="14" t="s">
        <v>585</v>
      </c>
      <c r="C402" s="14" t="s">
        <v>663</v>
      </c>
      <c r="D402" s="5">
        <v>0</v>
      </c>
      <c r="E402" s="5"/>
      <c r="F402" s="5"/>
      <c r="G402" s="5"/>
      <c r="I402" t="s">
        <v>405</v>
      </c>
      <c r="J402" s="34" t="s">
        <v>405</v>
      </c>
    </row>
    <row r="403" spans="2:22">
      <c r="B403" s="14" t="s">
        <v>586</v>
      </c>
      <c r="C403" s="14" t="s">
        <v>663</v>
      </c>
      <c r="D403" s="5">
        <v>0</v>
      </c>
      <c r="E403" s="5"/>
      <c r="F403" s="5"/>
      <c r="G403" s="5"/>
      <c r="I403" t="s">
        <v>405</v>
      </c>
      <c r="J403" s="34" t="s">
        <v>405</v>
      </c>
    </row>
    <row r="405" spans="2:22">
      <c r="B405" s="17" t="s">
        <v>675</v>
      </c>
      <c r="C405" s="19" t="s">
        <v>297</v>
      </c>
      <c r="D405" s="19" t="s">
        <v>114</v>
      </c>
      <c r="E405" s="19" t="s">
        <v>129</v>
      </c>
      <c r="F405" s="19" t="s">
        <v>79</v>
      </c>
      <c r="G405" s="19" t="s">
        <v>126</v>
      </c>
      <c r="H405" s="18" t="s">
        <v>293</v>
      </c>
      <c r="I405" s="18" t="s">
        <v>372</v>
      </c>
      <c r="J405" s="153" t="s">
        <v>373</v>
      </c>
      <c r="K405" s="18" t="s">
        <v>281</v>
      </c>
      <c r="L405" s="20" t="s">
        <v>282</v>
      </c>
      <c r="M405" s="18" t="s">
        <v>283</v>
      </c>
      <c r="N405" s="18" t="s">
        <v>284</v>
      </c>
      <c r="O405" s="20" t="s">
        <v>285</v>
      </c>
      <c r="P405" s="18" t="s">
        <v>286</v>
      </c>
      <c r="Q405" s="18" t="s">
        <v>287</v>
      </c>
      <c r="R405" s="20" t="s">
        <v>288</v>
      </c>
      <c r="S405" s="21" t="s">
        <v>289</v>
      </c>
      <c r="T405" s="83" t="s">
        <v>294</v>
      </c>
      <c r="U405" s="83" t="s">
        <v>374</v>
      </c>
      <c r="V405" s="83" t="s">
        <v>296</v>
      </c>
    </row>
    <row r="406" spans="2:22">
      <c r="B406" s="14" t="str">
        <f t="shared" ref="B406:B412" si="57">B397</f>
        <v>Geen</v>
      </c>
      <c r="C406" s="14" t="s">
        <v>190</v>
      </c>
      <c r="D406" s="23">
        <v>0</v>
      </c>
      <c r="E406" s="23">
        <v>0</v>
      </c>
      <c r="F406" s="23">
        <v>0</v>
      </c>
      <c r="G406" s="23">
        <v>0</v>
      </c>
      <c r="I406" t="s">
        <v>405</v>
      </c>
      <c r="J406" s="34" t="s">
        <v>405</v>
      </c>
    </row>
    <row r="407" spans="2:22">
      <c r="B407" s="14" t="str">
        <f t="shared" si="57"/>
        <v xml:space="preserve">Droogcontainers - passief drogen </v>
      </c>
      <c r="C407" s="14" t="s">
        <v>190</v>
      </c>
      <c r="D407" s="38">
        <v>0</v>
      </c>
      <c r="E407" s="37">
        <v>1</v>
      </c>
      <c r="F407" s="23">
        <v>1</v>
      </c>
      <c r="G407" s="37">
        <v>1</v>
      </c>
      <c r="I407" s="14" t="s">
        <v>400</v>
      </c>
      <c r="J407" s="51">
        <v>2</v>
      </c>
      <c r="K407" t="s">
        <v>358</v>
      </c>
      <c r="L407" s="172">
        <v>1</v>
      </c>
      <c r="M407" t="s">
        <v>360</v>
      </c>
    </row>
    <row r="408" spans="2:22">
      <c r="B408" s="14" t="str">
        <f t="shared" si="57"/>
        <v xml:space="preserve">Droogsysteem - actief drogen </v>
      </c>
      <c r="C408" s="14" t="s">
        <v>190</v>
      </c>
      <c r="D408" s="38">
        <v>0</v>
      </c>
      <c r="E408" s="37">
        <v>1</v>
      </c>
      <c r="F408" s="23">
        <v>0.95</v>
      </c>
      <c r="G408" s="37">
        <v>0.9</v>
      </c>
      <c r="I408" s="14" t="s">
        <v>400</v>
      </c>
      <c r="J408" s="51">
        <v>2</v>
      </c>
      <c r="K408" t="s">
        <v>358</v>
      </c>
      <c r="L408" s="86" t="s">
        <v>676</v>
      </c>
      <c r="M408" t="s">
        <v>360</v>
      </c>
    </row>
    <row r="409" spans="2:22">
      <c r="B409" s="14" t="str">
        <f t="shared" si="57"/>
        <v xml:space="preserve">Grasdrogerij </v>
      </c>
      <c r="C409" s="14" t="s">
        <v>190</v>
      </c>
      <c r="D409" s="4">
        <v>0</v>
      </c>
      <c r="E409" s="37">
        <v>1</v>
      </c>
      <c r="F409" s="23">
        <v>0.9</v>
      </c>
      <c r="G409" s="37">
        <v>0.85</v>
      </c>
      <c r="I409" s="14" t="s">
        <v>400</v>
      </c>
      <c r="J409" s="51">
        <v>2</v>
      </c>
      <c r="K409" t="s">
        <v>358</v>
      </c>
      <c r="L409" s="86" t="s">
        <v>677</v>
      </c>
      <c r="M409" t="s">
        <v>360</v>
      </c>
    </row>
    <row r="410" spans="2:22">
      <c r="B410" s="14" t="str">
        <f t="shared" si="57"/>
        <v>Bollendrogerij (lage temperatuur)</v>
      </c>
      <c r="C410" s="14" t="s">
        <v>190</v>
      </c>
      <c r="D410" s="4">
        <v>0</v>
      </c>
      <c r="E410" s="37">
        <v>0.9</v>
      </c>
      <c r="F410" s="23">
        <v>0.88</v>
      </c>
      <c r="G410" s="37">
        <v>0.86</v>
      </c>
      <c r="I410" t="s">
        <v>400</v>
      </c>
      <c r="J410" s="34">
        <v>2</v>
      </c>
      <c r="K410" t="s">
        <v>397</v>
      </c>
      <c r="L410" s="101" t="s">
        <v>678</v>
      </c>
      <c r="M410" t="s">
        <v>679</v>
      </c>
    </row>
    <row r="411" spans="2:22">
      <c r="B411" s="14" t="str">
        <f t="shared" si="57"/>
        <v>Alternatief 1</v>
      </c>
      <c r="C411" s="14" t="s">
        <v>190</v>
      </c>
      <c r="D411" s="4">
        <v>0</v>
      </c>
      <c r="E411" s="23"/>
      <c r="F411" s="23"/>
      <c r="G411" s="37"/>
      <c r="I411" t="s">
        <v>405</v>
      </c>
      <c r="J411" s="34" t="s">
        <v>405</v>
      </c>
    </row>
    <row r="412" spans="2:22">
      <c r="B412" s="14" t="str">
        <f t="shared" si="57"/>
        <v>Alternatief 2</v>
      </c>
      <c r="C412" s="14" t="s">
        <v>190</v>
      </c>
      <c r="D412" s="4">
        <v>0</v>
      </c>
      <c r="E412" s="23"/>
      <c r="F412" s="23"/>
      <c r="G412" s="37"/>
      <c r="I412" t="s">
        <v>405</v>
      </c>
      <c r="J412" s="34" t="s">
        <v>405</v>
      </c>
    </row>
    <row r="414" spans="2:22">
      <c r="B414" s="17" t="s">
        <v>680</v>
      </c>
      <c r="C414" s="19" t="s">
        <v>297</v>
      </c>
      <c r="D414" s="19" t="s">
        <v>114</v>
      </c>
      <c r="E414" s="19" t="s">
        <v>129</v>
      </c>
      <c r="F414" s="19" t="s">
        <v>79</v>
      </c>
      <c r="G414" s="19" t="s">
        <v>126</v>
      </c>
      <c r="H414" s="18" t="s">
        <v>293</v>
      </c>
      <c r="I414" s="18" t="s">
        <v>372</v>
      </c>
      <c r="J414" s="153" t="s">
        <v>373</v>
      </c>
      <c r="K414" s="18" t="s">
        <v>281</v>
      </c>
      <c r="L414" s="20" t="s">
        <v>282</v>
      </c>
      <c r="M414" s="18" t="s">
        <v>283</v>
      </c>
      <c r="N414" s="18" t="s">
        <v>284</v>
      </c>
      <c r="O414" s="20" t="s">
        <v>285</v>
      </c>
      <c r="P414" s="18" t="s">
        <v>286</v>
      </c>
      <c r="Q414" s="18" t="s">
        <v>287</v>
      </c>
      <c r="R414" s="20" t="s">
        <v>288</v>
      </c>
      <c r="S414" s="21" t="s">
        <v>289</v>
      </c>
      <c r="T414" s="83" t="s">
        <v>294</v>
      </c>
      <c r="U414" s="83" t="s">
        <v>374</v>
      </c>
      <c r="V414" s="83" t="s">
        <v>296</v>
      </c>
    </row>
    <row r="415" spans="2:22">
      <c r="B415" s="14" t="s">
        <v>654</v>
      </c>
      <c r="C415" s="14" t="s">
        <v>681</v>
      </c>
      <c r="D415" s="24">
        <v>0</v>
      </c>
      <c r="E415" s="24">
        <v>10</v>
      </c>
      <c r="F415" s="24">
        <v>5</v>
      </c>
      <c r="G415" s="24">
        <v>2.5</v>
      </c>
      <c r="I415" t="s">
        <v>400</v>
      </c>
      <c r="J415" s="34">
        <v>2</v>
      </c>
      <c r="K415" t="s">
        <v>358</v>
      </c>
      <c r="L415" s="101" t="s">
        <v>682</v>
      </c>
      <c r="M415" t="s">
        <v>360</v>
      </c>
    </row>
    <row r="416" spans="2:22">
      <c r="B416" s="14" t="s">
        <v>683</v>
      </c>
      <c r="C416" s="14" t="s">
        <v>681</v>
      </c>
      <c r="D416" s="27">
        <v>0</v>
      </c>
      <c r="E416" s="157">
        <v>20</v>
      </c>
      <c r="F416" s="157">
        <v>10</v>
      </c>
      <c r="G416" s="157">
        <v>7.5</v>
      </c>
      <c r="I416" t="s">
        <v>400</v>
      </c>
      <c r="J416" s="34">
        <v>2</v>
      </c>
      <c r="K416" t="s">
        <v>358</v>
      </c>
      <c r="L416" s="101" t="s">
        <v>684</v>
      </c>
      <c r="M416" t="s">
        <v>360</v>
      </c>
    </row>
    <row r="417" spans="3:22">
      <c r="C417" s="14"/>
      <c r="D417" s="12"/>
      <c r="E417" s="12"/>
      <c r="F417" s="12"/>
      <c r="G417" s="12"/>
      <c r="H417" s="14"/>
      <c r="I417" s="14"/>
      <c r="J417" s="51"/>
      <c r="K417" s="14"/>
      <c r="L417" s="93"/>
      <c r="M417" s="14"/>
      <c r="N417" s="14"/>
      <c r="O417" s="93"/>
      <c r="P417" s="14"/>
      <c r="Q417" s="14"/>
      <c r="R417" s="93"/>
      <c r="S417" s="14"/>
      <c r="T417" s="14"/>
      <c r="U417" s="14"/>
      <c r="V417" s="14"/>
    </row>
  </sheetData>
  <phoneticPr fontId="10" type="noConversion"/>
  <conditionalFormatting sqref="J75:J77">
    <cfRule type="iconSet" priority="457">
      <iconSet showValue="0">
        <cfvo type="percent" val="0"/>
        <cfvo type="num" val="2"/>
        <cfvo type="num" val="3"/>
      </iconSet>
    </cfRule>
  </conditionalFormatting>
  <conditionalFormatting sqref="J80">
    <cfRule type="iconSet" priority="456">
      <iconSet showValue="0">
        <cfvo type="percent" val="0"/>
        <cfvo type="num" val="2"/>
        <cfvo type="num" val="3"/>
      </iconSet>
    </cfRule>
  </conditionalFormatting>
  <conditionalFormatting sqref="J288 J295:J296">
    <cfRule type="iconSet" priority="453">
      <iconSet showValue="0">
        <cfvo type="percent" val="0"/>
        <cfvo type="num" val="2"/>
        <cfvo type="num" val="3"/>
      </iconSet>
    </cfRule>
  </conditionalFormatting>
  <conditionalFormatting sqref="J316 J320:J321">
    <cfRule type="iconSet" priority="452">
      <iconSet showValue="0">
        <cfvo type="percent" val="0"/>
        <cfvo type="num" val="2"/>
        <cfvo type="num" val="3"/>
      </iconSet>
    </cfRule>
  </conditionalFormatting>
  <conditionalFormatting sqref="J341:J343">
    <cfRule type="iconSet" priority="449">
      <iconSet showValue="0">
        <cfvo type="percent" val="0"/>
        <cfvo type="num" val="2"/>
        <cfvo type="num" val="3"/>
      </iconSet>
    </cfRule>
  </conditionalFormatting>
  <conditionalFormatting sqref="J368:J369 J364">
    <cfRule type="iconSet" priority="448">
      <iconSet showValue="0">
        <cfvo type="percent" val="0"/>
        <cfvo type="num" val="2"/>
        <cfvo type="num" val="3"/>
      </iconSet>
    </cfRule>
  </conditionalFormatting>
  <conditionalFormatting sqref="J349:J351">
    <cfRule type="iconSet" priority="447">
      <iconSet showValue="0">
        <cfvo type="percent" val="0"/>
        <cfvo type="num" val="2"/>
        <cfvo type="num" val="3"/>
      </iconSet>
    </cfRule>
  </conditionalFormatting>
  <conditionalFormatting sqref="J192">
    <cfRule type="iconSet" priority="470">
      <iconSet showValue="0">
        <cfvo type="percent" val="0"/>
        <cfvo type="num" val="2"/>
        <cfvo type="num" val="3"/>
      </iconSet>
    </cfRule>
  </conditionalFormatting>
  <conditionalFormatting sqref="J388 J391:J394">
    <cfRule type="iconSet" priority="429">
      <iconSet showValue="0">
        <cfvo type="percent" val="0"/>
        <cfvo type="num" val="2"/>
        <cfvo type="num" val="3"/>
      </iconSet>
    </cfRule>
  </conditionalFormatting>
  <conditionalFormatting sqref="J397 J401">
    <cfRule type="iconSet" priority="428">
      <iconSet showValue="0">
        <cfvo type="percent" val="0"/>
        <cfvo type="num" val="2"/>
        <cfvo type="num" val="3"/>
      </iconSet>
    </cfRule>
  </conditionalFormatting>
  <conditionalFormatting sqref="J406">
    <cfRule type="iconSet" priority="427">
      <iconSet showValue="0">
        <cfvo type="percent" val="0"/>
        <cfvo type="num" val="2"/>
        <cfvo type="num" val="3"/>
      </iconSet>
    </cfRule>
  </conditionalFormatting>
  <conditionalFormatting sqref="J25">
    <cfRule type="iconSet" priority="409">
      <iconSet showValue="0">
        <cfvo type="percent" val="0"/>
        <cfvo type="num" val="2"/>
        <cfvo type="num" val="3"/>
      </iconSet>
    </cfRule>
  </conditionalFormatting>
  <conditionalFormatting sqref="J46">
    <cfRule type="iconSet" priority="513">
      <iconSet showValue="0">
        <cfvo type="percent" val="0"/>
        <cfvo type="num" val="2"/>
        <cfvo type="num" val="3"/>
      </iconSet>
    </cfRule>
  </conditionalFormatting>
  <conditionalFormatting sqref="J51">
    <cfRule type="iconSet" priority="405">
      <iconSet showValue="0">
        <cfvo type="percent" val="0"/>
        <cfvo type="num" val="2"/>
        <cfvo type="num" val="3"/>
      </iconSet>
    </cfRule>
  </conditionalFormatting>
  <conditionalFormatting sqref="J49">
    <cfRule type="iconSet" priority="404">
      <iconSet showValue="0">
        <cfvo type="percent" val="0"/>
        <cfvo type="num" val="2"/>
        <cfvo type="num" val="3"/>
      </iconSet>
    </cfRule>
  </conditionalFormatting>
  <conditionalFormatting sqref="J50">
    <cfRule type="iconSet" priority="403">
      <iconSet showValue="0">
        <cfvo type="percent" val="0"/>
        <cfvo type="num" val="2"/>
        <cfvo type="num" val="3"/>
      </iconSet>
    </cfRule>
  </conditionalFormatting>
  <conditionalFormatting sqref="J402">
    <cfRule type="iconSet" priority="391">
      <iconSet showValue="0">
        <cfvo type="percent" val="0"/>
        <cfvo type="num" val="2"/>
        <cfvo type="num" val="3"/>
      </iconSet>
    </cfRule>
  </conditionalFormatting>
  <conditionalFormatting sqref="J403">
    <cfRule type="iconSet" priority="390">
      <iconSet showValue="0">
        <cfvo type="percent" val="0"/>
        <cfvo type="num" val="2"/>
        <cfvo type="num" val="3"/>
      </iconSet>
    </cfRule>
  </conditionalFormatting>
  <conditionalFormatting sqref="J411">
    <cfRule type="iconSet" priority="389">
      <iconSet showValue="0">
        <cfvo type="percent" val="0"/>
        <cfvo type="num" val="2"/>
        <cfvo type="num" val="3"/>
      </iconSet>
    </cfRule>
  </conditionalFormatting>
  <conditionalFormatting sqref="J412">
    <cfRule type="iconSet" priority="388">
      <iconSet showValue="0">
        <cfvo type="percent" val="0"/>
        <cfvo type="num" val="2"/>
        <cfvo type="num" val="3"/>
      </iconSet>
    </cfRule>
  </conditionalFormatting>
  <conditionalFormatting sqref="J365">
    <cfRule type="iconSet" priority="367">
      <iconSet showValue="0">
        <cfvo type="percent" val="0"/>
        <cfvo type="num" val="2"/>
        <cfvo type="num" val="3"/>
      </iconSet>
    </cfRule>
  </conditionalFormatting>
  <conditionalFormatting sqref="J37 J22:J24 J26 J39">
    <cfRule type="iconSet" priority="556">
      <iconSet showValue="0">
        <cfvo type="percent" val="0"/>
        <cfvo type="num" val="2"/>
        <cfvo type="num" val="3"/>
      </iconSet>
    </cfRule>
  </conditionalFormatting>
  <conditionalFormatting sqref="J64">
    <cfRule type="iconSet" priority="594">
      <iconSet showValue="0">
        <cfvo type="percent" val="0"/>
        <cfvo type="num" val="2"/>
        <cfvo type="num" val="3"/>
      </iconSet>
    </cfRule>
  </conditionalFormatting>
  <conditionalFormatting sqref="J69:J72 J57 J61">
    <cfRule type="iconSet" priority="609">
      <iconSet showValue="0">
        <cfvo type="percent" val="0"/>
        <cfvo type="num" val="2"/>
        <cfvo type="num" val="3"/>
      </iconSet>
    </cfRule>
  </conditionalFormatting>
  <conditionalFormatting sqref="J96">
    <cfRule type="iconSet" priority="629">
      <iconSet showValue="0">
        <cfvo type="percent" val="0"/>
        <cfvo type="num" val="2"/>
        <cfvo type="num" val="3"/>
      </iconSet>
    </cfRule>
  </conditionalFormatting>
  <conditionalFormatting sqref="J358:J361">
    <cfRule type="iconSet" priority="355">
      <iconSet showValue="0">
        <cfvo type="percent" val="0"/>
        <cfvo type="num" val="2"/>
        <cfvo type="num" val="3"/>
      </iconSet>
    </cfRule>
  </conditionalFormatting>
  <conditionalFormatting sqref="J371:J373">
    <cfRule type="iconSet" priority="354">
      <iconSet showValue="0">
        <cfvo type="percent" val="0"/>
        <cfvo type="num" val="2"/>
        <cfvo type="num" val="3"/>
      </iconSet>
    </cfRule>
  </conditionalFormatting>
  <conditionalFormatting sqref="J63">
    <cfRule type="iconSet" priority="353">
      <iconSet showValue="0">
        <cfvo type="percent" val="0"/>
        <cfvo type="num" val="2"/>
        <cfvo type="num" val="3"/>
      </iconSet>
    </cfRule>
  </conditionalFormatting>
  <conditionalFormatting sqref="J66">
    <cfRule type="iconSet" priority="351">
      <iconSet showValue="0">
        <cfvo type="percent" val="0"/>
        <cfvo type="num" val="2"/>
        <cfvo type="num" val="3"/>
      </iconSet>
    </cfRule>
  </conditionalFormatting>
  <conditionalFormatting sqref="J68">
    <cfRule type="iconSet" priority="350">
      <iconSet showValue="0">
        <cfvo type="percent" val="0"/>
        <cfvo type="num" val="2"/>
        <cfvo type="num" val="3"/>
      </iconSet>
    </cfRule>
  </conditionalFormatting>
  <conditionalFormatting sqref="J95">
    <cfRule type="iconSet" priority="349">
      <iconSet showValue="0">
        <cfvo type="percent" val="0"/>
        <cfvo type="num" val="2"/>
        <cfvo type="num" val="3"/>
      </iconSet>
    </cfRule>
  </conditionalFormatting>
  <conditionalFormatting sqref="J97">
    <cfRule type="iconSet" priority="348">
      <iconSet showValue="0">
        <cfvo type="percent" val="0"/>
        <cfvo type="num" val="2"/>
        <cfvo type="num" val="3"/>
      </iconSet>
    </cfRule>
  </conditionalFormatting>
  <conditionalFormatting sqref="J410">
    <cfRule type="iconSet" priority="346">
      <iconSet showValue="0">
        <cfvo type="percent" val="0"/>
        <cfvo type="num" val="2"/>
        <cfvo type="num" val="3"/>
      </iconSet>
    </cfRule>
  </conditionalFormatting>
  <conditionalFormatting sqref="J7">
    <cfRule type="iconSet" priority="343">
      <iconSet showValue="0">
        <cfvo type="percent" val="0"/>
        <cfvo type="num" val="2"/>
        <cfvo type="num" val="3"/>
      </iconSet>
    </cfRule>
  </conditionalFormatting>
  <conditionalFormatting sqref="J27">
    <cfRule type="iconSet" priority="325">
      <iconSet showValue="0">
        <cfvo type="percent" val="0"/>
        <cfvo type="num" val="2"/>
        <cfvo type="num" val="3"/>
      </iconSet>
    </cfRule>
  </conditionalFormatting>
  <conditionalFormatting sqref="J30">
    <cfRule type="iconSet" priority="324">
      <iconSet showValue="0">
        <cfvo type="percent" val="0"/>
        <cfvo type="num" val="2"/>
        <cfvo type="num" val="3"/>
      </iconSet>
    </cfRule>
  </conditionalFormatting>
  <conditionalFormatting sqref="J36">
    <cfRule type="iconSet" priority="323">
      <iconSet showValue="0">
        <cfvo type="percent" val="0"/>
        <cfvo type="num" val="2"/>
        <cfvo type="num" val="3"/>
      </iconSet>
    </cfRule>
  </conditionalFormatting>
  <conditionalFormatting sqref="J38">
    <cfRule type="iconSet" priority="322">
      <iconSet showValue="0">
        <cfvo type="percent" val="0"/>
        <cfvo type="num" val="2"/>
        <cfvo type="num" val="3"/>
      </iconSet>
    </cfRule>
  </conditionalFormatting>
  <conditionalFormatting sqref="J8">
    <cfRule type="iconSet" priority="319">
      <iconSet showValue="0">
        <cfvo type="percent" val="0"/>
        <cfvo type="num" val="2"/>
        <cfvo type="num" val="3"/>
      </iconSet>
    </cfRule>
  </conditionalFormatting>
  <conditionalFormatting sqref="J9">
    <cfRule type="iconSet" priority="318">
      <iconSet showValue="0">
        <cfvo type="percent" val="0"/>
        <cfvo type="num" val="2"/>
        <cfvo type="num" val="3"/>
      </iconSet>
    </cfRule>
  </conditionalFormatting>
  <conditionalFormatting sqref="J10">
    <cfRule type="iconSet" priority="317">
      <iconSet showValue="0">
        <cfvo type="percent" val="0"/>
        <cfvo type="num" val="2"/>
        <cfvo type="num" val="3"/>
      </iconSet>
    </cfRule>
  </conditionalFormatting>
  <conditionalFormatting sqref="J11">
    <cfRule type="iconSet" priority="316">
      <iconSet showValue="0">
        <cfvo type="percent" val="0"/>
        <cfvo type="num" val="2"/>
        <cfvo type="num" val="3"/>
      </iconSet>
    </cfRule>
  </conditionalFormatting>
  <conditionalFormatting sqref="J12">
    <cfRule type="iconSet" priority="315">
      <iconSet showValue="0">
        <cfvo type="percent" val="0"/>
        <cfvo type="num" val="2"/>
        <cfvo type="num" val="3"/>
      </iconSet>
    </cfRule>
  </conditionalFormatting>
  <conditionalFormatting sqref="J13">
    <cfRule type="iconSet" priority="314">
      <iconSet showValue="0">
        <cfvo type="percent" val="0"/>
        <cfvo type="num" val="2"/>
        <cfvo type="num" val="3"/>
      </iconSet>
    </cfRule>
  </conditionalFormatting>
  <conditionalFormatting sqref="J14">
    <cfRule type="iconSet" priority="313">
      <iconSet showValue="0">
        <cfvo type="percent" val="0"/>
        <cfvo type="num" val="2"/>
        <cfvo type="num" val="3"/>
      </iconSet>
    </cfRule>
  </conditionalFormatting>
  <conditionalFormatting sqref="J15">
    <cfRule type="iconSet" priority="312">
      <iconSet showValue="0">
        <cfvo type="percent" val="0"/>
        <cfvo type="num" val="2"/>
        <cfvo type="num" val="3"/>
      </iconSet>
    </cfRule>
  </conditionalFormatting>
  <conditionalFormatting sqref="J16">
    <cfRule type="iconSet" priority="311">
      <iconSet showValue="0">
        <cfvo type="percent" val="0"/>
        <cfvo type="num" val="2"/>
        <cfvo type="num" val="3"/>
      </iconSet>
    </cfRule>
  </conditionalFormatting>
  <conditionalFormatting sqref="J17">
    <cfRule type="iconSet" priority="310">
      <iconSet showValue="0">
        <cfvo type="percent" val="0"/>
        <cfvo type="num" val="2"/>
        <cfvo type="num" val="3"/>
      </iconSet>
    </cfRule>
  </conditionalFormatting>
  <conditionalFormatting sqref="J18">
    <cfRule type="iconSet" priority="309">
      <iconSet showValue="0">
        <cfvo type="percent" val="0"/>
        <cfvo type="num" val="2"/>
        <cfvo type="num" val="3"/>
      </iconSet>
    </cfRule>
  </conditionalFormatting>
  <conditionalFormatting sqref="J19">
    <cfRule type="iconSet" priority="308">
      <iconSet showValue="0">
        <cfvo type="percent" val="0"/>
        <cfvo type="num" val="2"/>
        <cfvo type="num" val="3"/>
      </iconSet>
    </cfRule>
  </conditionalFormatting>
  <conditionalFormatting sqref="J20">
    <cfRule type="iconSet" priority="307">
      <iconSet showValue="0">
        <cfvo type="percent" val="0"/>
        <cfvo type="num" val="2"/>
        <cfvo type="num" val="3"/>
      </iconSet>
    </cfRule>
  </conditionalFormatting>
  <conditionalFormatting sqref="J62">
    <cfRule type="iconSet" priority="306">
      <iconSet showValue="0">
        <cfvo type="percent" val="0"/>
        <cfvo type="num" val="2"/>
        <cfvo type="num" val="3"/>
      </iconSet>
    </cfRule>
  </conditionalFormatting>
  <conditionalFormatting sqref="J81">
    <cfRule type="iconSet" priority="291">
      <iconSet showValue="0">
        <cfvo type="percent" val="0"/>
        <cfvo type="num" val="2"/>
        <cfvo type="num" val="3"/>
      </iconSet>
    </cfRule>
  </conditionalFormatting>
  <conditionalFormatting sqref="J93">
    <cfRule type="iconSet" priority="289">
      <iconSet showValue="0">
        <cfvo type="percent" val="0"/>
        <cfvo type="num" val="2"/>
        <cfvo type="num" val="3"/>
      </iconSet>
    </cfRule>
  </conditionalFormatting>
  <conditionalFormatting sqref="J94">
    <cfRule type="iconSet" priority="288">
      <iconSet showValue="0">
        <cfvo type="percent" val="0"/>
        <cfvo type="num" val="2"/>
        <cfvo type="num" val="3"/>
      </iconSet>
    </cfRule>
  </conditionalFormatting>
  <conditionalFormatting sqref="J289">
    <cfRule type="iconSet" priority="287">
      <iconSet showValue="0">
        <cfvo type="percent" val="0"/>
        <cfvo type="num" val="2"/>
        <cfvo type="num" val="3"/>
      </iconSet>
    </cfRule>
  </conditionalFormatting>
  <conditionalFormatting sqref="J290">
    <cfRule type="iconSet" priority="286">
      <iconSet showValue="0">
        <cfvo type="percent" val="0"/>
        <cfvo type="num" val="2"/>
        <cfvo type="num" val="3"/>
      </iconSet>
    </cfRule>
  </conditionalFormatting>
  <conditionalFormatting sqref="J310">
    <cfRule type="iconSet" priority="285">
      <iconSet showValue="0">
        <cfvo type="percent" val="0"/>
        <cfvo type="num" val="2"/>
        <cfvo type="num" val="3"/>
      </iconSet>
    </cfRule>
  </conditionalFormatting>
  <conditionalFormatting sqref="J311">
    <cfRule type="iconSet" priority="284">
      <iconSet showValue="0">
        <cfvo type="percent" val="0"/>
        <cfvo type="num" val="2"/>
        <cfvo type="num" val="3"/>
      </iconSet>
    </cfRule>
  </conditionalFormatting>
  <conditionalFormatting sqref="J312">
    <cfRule type="iconSet" priority="283">
      <iconSet showValue="0">
        <cfvo type="percent" val="0"/>
        <cfvo type="num" val="2"/>
        <cfvo type="num" val="3"/>
      </iconSet>
    </cfRule>
  </conditionalFormatting>
  <conditionalFormatting sqref="J317">
    <cfRule type="iconSet" priority="282">
      <iconSet showValue="0">
        <cfvo type="percent" val="0"/>
        <cfvo type="num" val="2"/>
        <cfvo type="num" val="3"/>
      </iconSet>
    </cfRule>
  </conditionalFormatting>
  <conditionalFormatting sqref="J318">
    <cfRule type="iconSet" priority="281">
      <iconSet showValue="0">
        <cfvo type="percent" val="0"/>
        <cfvo type="num" val="2"/>
        <cfvo type="num" val="3"/>
      </iconSet>
    </cfRule>
  </conditionalFormatting>
  <conditionalFormatting sqref="J319">
    <cfRule type="iconSet" priority="280">
      <iconSet showValue="0">
        <cfvo type="percent" val="0"/>
        <cfvo type="num" val="2"/>
        <cfvo type="num" val="3"/>
      </iconSet>
    </cfRule>
  </conditionalFormatting>
  <conditionalFormatting sqref="J291">
    <cfRule type="iconSet" priority="279">
      <iconSet showValue="0">
        <cfvo type="percent" val="0"/>
        <cfvo type="num" val="2"/>
        <cfvo type="num" val="3"/>
      </iconSet>
    </cfRule>
  </conditionalFormatting>
  <conditionalFormatting sqref="J332">
    <cfRule type="iconSet" priority="275">
      <iconSet showValue="0">
        <cfvo type="percent" val="0"/>
        <cfvo type="num" val="2"/>
        <cfvo type="num" val="3"/>
      </iconSet>
    </cfRule>
  </conditionalFormatting>
  <conditionalFormatting sqref="J333">
    <cfRule type="iconSet" priority="274">
      <iconSet showValue="0">
        <cfvo type="percent" val="0"/>
        <cfvo type="num" val="2"/>
        <cfvo type="num" val="3"/>
      </iconSet>
    </cfRule>
  </conditionalFormatting>
  <conditionalFormatting sqref="J334">
    <cfRule type="iconSet" priority="273">
      <iconSet showValue="0">
        <cfvo type="percent" val="0"/>
        <cfvo type="num" val="2"/>
        <cfvo type="num" val="3"/>
      </iconSet>
    </cfRule>
  </conditionalFormatting>
  <conditionalFormatting sqref="J344">
    <cfRule type="iconSet" priority="272">
      <iconSet showValue="0">
        <cfvo type="percent" val="0"/>
        <cfvo type="num" val="2"/>
        <cfvo type="num" val="3"/>
      </iconSet>
    </cfRule>
  </conditionalFormatting>
  <conditionalFormatting sqref="J345">
    <cfRule type="iconSet" priority="271">
      <iconSet showValue="0">
        <cfvo type="percent" val="0"/>
        <cfvo type="num" val="2"/>
        <cfvo type="num" val="3"/>
      </iconSet>
    </cfRule>
  </conditionalFormatting>
  <conditionalFormatting sqref="J346">
    <cfRule type="iconSet" priority="270">
      <iconSet showValue="0">
        <cfvo type="percent" val="0"/>
        <cfvo type="num" val="2"/>
        <cfvo type="num" val="3"/>
      </iconSet>
    </cfRule>
  </conditionalFormatting>
  <conditionalFormatting sqref="J352:J355">
    <cfRule type="iconSet" priority="269">
      <iconSet showValue="0">
        <cfvo type="percent" val="0"/>
        <cfvo type="num" val="2"/>
        <cfvo type="num" val="3"/>
      </iconSet>
    </cfRule>
  </conditionalFormatting>
  <conditionalFormatting sqref="J366">
    <cfRule type="iconSet" priority="268">
      <iconSet showValue="0">
        <cfvo type="percent" val="0"/>
        <cfvo type="num" val="2"/>
        <cfvo type="num" val="3"/>
      </iconSet>
    </cfRule>
  </conditionalFormatting>
  <conditionalFormatting sqref="J389">
    <cfRule type="iconSet" priority="265">
      <iconSet showValue="0">
        <cfvo type="percent" val="0"/>
        <cfvo type="num" val="2"/>
        <cfvo type="num" val="3"/>
      </iconSet>
    </cfRule>
  </conditionalFormatting>
  <conditionalFormatting sqref="J389">
    <cfRule type="iconSet" priority="266">
      <iconSet showValue="0">
        <cfvo type="percent" val="0"/>
        <cfvo type="num" val="2"/>
        <cfvo type="num" val="3"/>
      </iconSet>
    </cfRule>
  </conditionalFormatting>
  <conditionalFormatting sqref="J390">
    <cfRule type="iconSet" priority="263">
      <iconSet showValue="0">
        <cfvo type="percent" val="0"/>
        <cfvo type="num" val="2"/>
        <cfvo type="num" val="3"/>
      </iconSet>
    </cfRule>
  </conditionalFormatting>
  <conditionalFormatting sqref="J390">
    <cfRule type="iconSet" priority="264">
      <iconSet showValue="0">
        <cfvo type="percent" val="0"/>
        <cfvo type="num" val="2"/>
        <cfvo type="num" val="3"/>
      </iconSet>
    </cfRule>
  </conditionalFormatting>
  <conditionalFormatting sqref="J398">
    <cfRule type="iconSet" priority="261">
      <iconSet showValue="0">
        <cfvo type="percent" val="0"/>
        <cfvo type="num" val="2"/>
        <cfvo type="num" val="3"/>
      </iconSet>
    </cfRule>
  </conditionalFormatting>
  <conditionalFormatting sqref="J398">
    <cfRule type="iconSet" priority="262">
      <iconSet showValue="0">
        <cfvo type="percent" val="0"/>
        <cfvo type="num" val="2"/>
        <cfvo type="num" val="3"/>
      </iconSet>
    </cfRule>
  </conditionalFormatting>
  <conditionalFormatting sqref="J399">
    <cfRule type="iconSet" priority="259">
      <iconSet showValue="0">
        <cfvo type="percent" val="0"/>
        <cfvo type="num" val="2"/>
        <cfvo type="num" val="3"/>
      </iconSet>
    </cfRule>
  </conditionalFormatting>
  <conditionalFormatting sqref="J399">
    <cfRule type="iconSet" priority="260">
      <iconSet showValue="0">
        <cfvo type="percent" val="0"/>
        <cfvo type="num" val="2"/>
        <cfvo type="num" val="3"/>
      </iconSet>
    </cfRule>
  </conditionalFormatting>
  <conditionalFormatting sqref="J400">
    <cfRule type="iconSet" priority="257">
      <iconSet showValue="0">
        <cfvo type="percent" val="0"/>
        <cfvo type="num" val="2"/>
        <cfvo type="num" val="3"/>
      </iconSet>
    </cfRule>
  </conditionalFormatting>
  <conditionalFormatting sqref="J400">
    <cfRule type="iconSet" priority="258">
      <iconSet showValue="0">
        <cfvo type="percent" val="0"/>
        <cfvo type="num" val="2"/>
        <cfvo type="num" val="3"/>
      </iconSet>
    </cfRule>
  </conditionalFormatting>
  <conditionalFormatting sqref="J407">
    <cfRule type="iconSet" priority="255">
      <iconSet showValue="0">
        <cfvo type="percent" val="0"/>
        <cfvo type="num" val="2"/>
        <cfvo type="num" val="3"/>
      </iconSet>
    </cfRule>
  </conditionalFormatting>
  <conditionalFormatting sqref="J407">
    <cfRule type="iconSet" priority="256">
      <iconSet showValue="0">
        <cfvo type="percent" val="0"/>
        <cfvo type="num" val="2"/>
        <cfvo type="num" val="3"/>
      </iconSet>
    </cfRule>
  </conditionalFormatting>
  <conditionalFormatting sqref="J408">
    <cfRule type="iconSet" priority="253">
      <iconSet showValue="0">
        <cfvo type="percent" val="0"/>
        <cfvo type="num" val="2"/>
        <cfvo type="num" val="3"/>
      </iconSet>
    </cfRule>
  </conditionalFormatting>
  <conditionalFormatting sqref="J408">
    <cfRule type="iconSet" priority="254">
      <iconSet showValue="0">
        <cfvo type="percent" val="0"/>
        <cfvo type="num" val="2"/>
        <cfvo type="num" val="3"/>
      </iconSet>
    </cfRule>
  </conditionalFormatting>
  <conditionalFormatting sqref="J409">
    <cfRule type="iconSet" priority="251">
      <iconSet showValue="0">
        <cfvo type="percent" val="0"/>
        <cfvo type="num" val="2"/>
        <cfvo type="num" val="3"/>
      </iconSet>
    </cfRule>
  </conditionalFormatting>
  <conditionalFormatting sqref="J409">
    <cfRule type="iconSet" priority="252">
      <iconSet showValue="0">
        <cfvo type="percent" val="0"/>
        <cfvo type="num" val="2"/>
        <cfvo type="num" val="3"/>
      </iconSet>
    </cfRule>
  </conditionalFormatting>
  <conditionalFormatting sqref="J52">
    <cfRule type="iconSet" priority="207">
      <iconSet showValue="0">
        <cfvo type="percent" val="0"/>
        <cfvo type="num" val="2"/>
        <cfvo type="num" val="3"/>
      </iconSet>
    </cfRule>
  </conditionalFormatting>
  <conditionalFormatting sqref="J58">
    <cfRule type="iconSet" priority="875">
      <iconSet showValue="0">
        <cfvo type="percent" val="0"/>
        <cfvo type="num" val="2"/>
        <cfvo type="num" val="3"/>
      </iconSet>
    </cfRule>
  </conditionalFormatting>
  <conditionalFormatting sqref="J59">
    <cfRule type="iconSet" priority="192">
      <iconSet showValue="0">
        <cfvo type="percent" val="0"/>
        <cfvo type="num" val="2"/>
        <cfvo type="num" val="3"/>
      </iconSet>
    </cfRule>
  </conditionalFormatting>
  <conditionalFormatting sqref="J60">
    <cfRule type="iconSet" priority="191">
      <iconSet showValue="0">
        <cfvo type="percent" val="0"/>
        <cfvo type="num" val="2"/>
        <cfvo type="num" val="3"/>
      </iconSet>
    </cfRule>
  </conditionalFormatting>
  <conditionalFormatting sqref="J292">
    <cfRule type="iconSet" priority="189">
      <iconSet showValue="0">
        <cfvo type="percent" val="0"/>
        <cfvo type="num" val="2"/>
        <cfvo type="num" val="3"/>
      </iconSet>
    </cfRule>
  </conditionalFormatting>
  <conditionalFormatting sqref="J293">
    <cfRule type="iconSet" priority="188">
      <iconSet showValue="0">
        <cfvo type="percent" val="0"/>
        <cfvo type="num" val="2"/>
        <cfvo type="num" val="3"/>
      </iconSet>
    </cfRule>
  </conditionalFormatting>
  <conditionalFormatting sqref="J294">
    <cfRule type="iconSet" priority="187">
      <iconSet showValue="0">
        <cfvo type="percent" val="0"/>
        <cfvo type="num" val="2"/>
        <cfvo type="num" val="3"/>
      </iconSet>
    </cfRule>
  </conditionalFormatting>
  <conditionalFormatting sqref="J299 J306:J307">
    <cfRule type="iconSet" priority="186">
      <iconSet showValue="0">
        <cfvo type="percent" val="0"/>
        <cfvo type="num" val="2"/>
        <cfvo type="num" val="3"/>
      </iconSet>
    </cfRule>
  </conditionalFormatting>
  <conditionalFormatting sqref="J300">
    <cfRule type="iconSet" priority="185">
      <iconSet showValue="0">
        <cfvo type="percent" val="0"/>
        <cfvo type="num" val="2"/>
        <cfvo type="num" val="3"/>
      </iconSet>
    </cfRule>
  </conditionalFormatting>
  <conditionalFormatting sqref="J301">
    <cfRule type="iconSet" priority="184">
      <iconSet showValue="0">
        <cfvo type="percent" val="0"/>
        <cfvo type="num" val="2"/>
        <cfvo type="num" val="3"/>
      </iconSet>
    </cfRule>
  </conditionalFormatting>
  <conditionalFormatting sqref="J302">
    <cfRule type="iconSet" priority="183">
      <iconSet showValue="0">
        <cfvo type="percent" val="0"/>
        <cfvo type="num" val="2"/>
        <cfvo type="num" val="3"/>
      </iconSet>
    </cfRule>
  </conditionalFormatting>
  <conditionalFormatting sqref="J303">
    <cfRule type="iconSet" priority="182">
      <iconSet showValue="0">
        <cfvo type="percent" val="0"/>
        <cfvo type="num" val="2"/>
        <cfvo type="num" val="3"/>
      </iconSet>
    </cfRule>
  </conditionalFormatting>
  <conditionalFormatting sqref="J304">
    <cfRule type="iconSet" priority="181">
      <iconSet showValue="0">
        <cfvo type="percent" val="0"/>
        <cfvo type="num" val="2"/>
        <cfvo type="num" val="3"/>
      </iconSet>
    </cfRule>
  </conditionalFormatting>
  <conditionalFormatting sqref="J305">
    <cfRule type="iconSet" priority="180">
      <iconSet showValue="0">
        <cfvo type="percent" val="0"/>
        <cfvo type="num" val="2"/>
        <cfvo type="num" val="3"/>
      </iconSet>
    </cfRule>
  </conditionalFormatting>
  <conditionalFormatting sqref="J324 J328:J329">
    <cfRule type="iconSet" priority="179">
      <iconSet showValue="0">
        <cfvo type="percent" val="0"/>
        <cfvo type="num" val="2"/>
        <cfvo type="num" val="3"/>
      </iconSet>
    </cfRule>
  </conditionalFormatting>
  <conditionalFormatting sqref="J325">
    <cfRule type="iconSet" priority="178">
      <iconSet showValue="0">
        <cfvo type="percent" val="0"/>
        <cfvo type="num" val="2"/>
        <cfvo type="num" val="3"/>
      </iconSet>
    </cfRule>
  </conditionalFormatting>
  <conditionalFormatting sqref="J326">
    <cfRule type="iconSet" priority="177">
      <iconSet showValue="0">
        <cfvo type="percent" val="0"/>
        <cfvo type="num" val="2"/>
        <cfvo type="num" val="3"/>
      </iconSet>
    </cfRule>
  </conditionalFormatting>
  <conditionalFormatting sqref="J327">
    <cfRule type="iconSet" priority="176">
      <iconSet showValue="0">
        <cfvo type="percent" val="0"/>
        <cfvo type="num" val="2"/>
        <cfvo type="num" val="3"/>
      </iconSet>
    </cfRule>
  </conditionalFormatting>
  <conditionalFormatting sqref="J367">
    <cfRule type="iconSet" priority="155">
      <iconSet showValue="0">
        <cfvo type="percent" val="0"/>
        <cfvo type="num" val="2"/>
        <cfvo type="num" val="3"/>
      </iconSet>
    </cfRule>
  </conditionalFormatting>
  <conditionalFormatting sqref="J65">
    <cfRule type="iconSet" priority="150">
      <iconSet showValue="0">
        <cfvo type="percent" val="0"/>
        <cfvo type="num" val="2"/>
        <cfvo type="num" val="3"/>
      </iconSet>
    </cfRule>
  </conditionalFormatting>
  <conditionalFormatting sqref="J67">
    <cfRule type="iconSet" priority="149">
      <iconSet showValue="0">
        <cfvo type="percent" val="0"/>
        <cfvo type="num" val="2"/>
        <cfvo type="num" val="3"/>
      </iconSet>
    </cfRule>
  </conditionalFormatting>
  <conditionalFormatting sqref="J47">
    <cfRule type="iconSet" priority="148">
      <iconSet showValue="0">
        <cfvo type="percent" val="0"/>
        <cfvo type="num" val="2"/>
        <cfvo type="num" val="3"/>
      </iconSet>
    </cfRule>
  </conditionalFormatting>
  <conditionalFormatting sqref="J48">
    <cfRule type="iconSet" priority="147">
      <iconSet showValue="0">
        <cfvo type="percent" val="0"/>
        <cfvo type="num" val="2"/>
        <cfvo type="num" val="3"/>
      </iconSet>
    </cfRule>
  </conditionalFormatting>
  <conditionalFormatting sqref="J377:J378 J380">
    <cfRule type="iconSet" priority="909">
      <iconSet showValue="0">
        <cfvo type="percent" val="0"/>
        <cfvo type="num" val="2"/>
        <cfvo type="num" val="3"/>
      </iconSet>
    </cfRule>
  </conditionalFormatting>
  <conditionalFormatting sqref="J379">
    <cfRule type="iconSet" priority="144">
      <iconSet showValue="0">
        <cfvo type="percent" val="0"/>
        <cfvo type="num" val="2"/>
        <cfvo type="num" val="3"/>
      </iconSet>
    </cfRule>
  </conditionalFormatting>
  <conditionalFormatting sqref="J29">
    <cfRule type="iconSet" priority="139">
      <iconSet showValue="0">
        <cfvo type="percent" val="0"/>
        <cfvo type="num" val="2"/>
        <cfvo type="num" val="3"/>
      </iconSet>
    </cfRule>
  </conditionalFormatting>
  <conditionalFormatting sqref="J31">
    <cfRule type="iconSet" priority="947">
      <iconSet showValue="0">
        <cfvo type="percent" val="0"/>
        <cfvo type="num" val="2"/>
        <cfvo type="num" val="3"/>
      </iconSet>
    </cfRule>
  </conditionalFormatting>
  <conditionalFormatting sqref="J33">
    <cfRule type="iconSet" priority="137">
      <iconSet showValue="0">
        <cfvo type="percent" val="0"/>
        <cfvo type="num" val="2"/>
        <cfvo type="num" val="3"/>
      </iconSet>
    </cfRule>
  </conditionalFormatting>
  <conditionalFormatting sqref="J32">
    <cfRule type="iconSet" priority="136">
      <iconSet showValue="0">
        <cfvo type="percent" val="0"/>
        <cfvo type="num" val="2"/>
        <cfvo type="num" val="3"/>
      </iconSet>
    </cfRule>
  </conditionalFormatting>
  <conditionalFormatting sqref="J34">
    <cfRule type="iconSet" priority="138">
      <iconSet showValue="0">
        <cfvo type="percent" val="0"/>
        <cfvo type="num" val="2"/>
        <cfvo type="num" val="3"/>
      </iconSet>
    </cfRule>
  </conditionalFormatting>
  <conditionalFormatting sqref="J35">
    <cfRule type="iconSet" priority="135">
      <iconSet showValue="0">
        <cfvo type="percent" val="0"/>
        <cfvo type="num" val="2"/>
        <cfvo type="num" val="3"/>
      </iconSet>
    </cfRule>
  </conditionalFormatting>
  <conditionalFormatting sqref="J84:J90">
    <cfRule type="iconSet" priority="963">
      <iconSet showValue="0">
        <cfvo type="percent" val="0"/>
        <cfvo type="num" val="2"/>
        <cfvo type="num" val="3"/>
      </iconSet>
    </cfRule>
  </conditionalFormatting>
  <conditionalFormatting sqref="J189">
    <cfRule type="iconSet" priority="85">
      <iconSet showValue="0">
        <cfvo type="percent" val="0"/>
        <cfvo type="num" val="2"/>
        <cfvo type="num" val="3"/>
      </iconSet>
    </cfRule>
  </conditionalFormatting>
  <conditionalFormatting sqref="J190">
    <cfRule type="iconSet" priority="84">
      <iconSet showValue="0">
        <cfvo type="percent" val="0"/>
        <cfvo type="num" val="2"/>
        <cfvo type="num" val="3"/>
      </iconSet>
    </cfRule>
  </conditionalFormatting>
  <conditionalFormatting sqref="J193:J194 J197">
    <cfRule type="iconSet" priority="1005">
      <iconSet showValue="0">
        <cfvo type="percent" val="0"/>
        <cfvo type="num" val="2"/>
        <cfvo type="num" val="3"/>
      </iconSet>
    </cfRule>
  </conditionalFormatting>
  <conditionalFormatting sqref="J198">
    <cfRule type="iconSet" priority="83">
      <iconSet showValue="0">
        <cfvo type="percent" val="0"/>
        <cfvo type="num" val="2"/>
        <cfvo type="num" val="3"/>
      </iconSet>
    </cfRule>
  </conditionalFormatting>
  <conditionalFormatting sqref="J199">
    <cfRule type="iconSet" priority="82">
      <iconSet showValue="0">
        <cfvo type="percent" val="0"/>
        <cfvo type="num" val="2"/>
        <cfvo type="num" val="3"/>
      </iconSet>
    </cfRule>
  </conditionalFormatting>
  <conditionalFormatting sqref="J195">
    <cfRule type="iconSet" priority="81">
      <iconSet showValue="0">
        <cfvo type="percent" val="0"/>
        <cfvo type="num" val="2"/>
        <cfvo type="num" val="3"/>
      </iconSet>
    </cfRule>
  </conditionalFormatting>
  <conditionalFormatting sqref="J196">
    <cfRule type="iconSet" priority="80">
      <iconSet showValue="0">
        <cfvo type="percent" val="0"/>
        <cfvo type="num" val="2"/>
        <cfvo type="num" val="3"/>
      </iconSet>
    </cfRule>
  </conditionalFormatting>
  <conditionalFormatting sqref="J206">
    <cfRule type="iconSet" priority="78">
      <iconSet showValue="0">
        <cfvo type="percent" val="0"/>
        <cfvo type="num" val="2"/>
        <cfvo type="num" val="3"/>
      </iconSet>
    </cfRule>
  </conditionalFormatting>
  <conditionalFormatting sqref="J203">
    <cfRule type="iconSet" priority="77">
      <iconSet showValue="0">
        <cfvo type="percent" val="0"/>
        <cfvo type="num" val="2"/>
        <cfvo type="num" val="3"/>
      </iconSet>
    </cfRule>
  </conditionalFormatting>
  <conditionalFormatting sqref="J204">
    <cfRule type="iconSet" priority="76">
      <iconSet showValue="0">
        <cfvo type="percent" val="0"/>
        <cfvo type="num" val="2"/>
        <cfvo type="num" val="3"/>
      </iconSet>
    </cfRule>
  </conditionalFormatting>
  <conditionalFormatting sqref="J208 J211">
    <cfRule type="iconSet" priority="79">
      <iconSet showValue="0">
        <cfvo type="percent" val="0"/>
        <cfvo type="num" val="2"/>
        <cfvo type="num" val="3"/>
      </iconSet>
    </cfRule>
  </conditionalFormatting>
  <conditionalFormatting sqref="J212">
    <cfRule type="iconSet" priority="75">
      <iconSet showValue="0">
        <cfvo type="percent" val="0"/>
        <cfvo type="num" val="2"/>
        <cfvo type="num" val="3"/>
      </iconSet>
    </cfRule>
  </conditionalFormatting>
  <conditionalFormatting sqref="J213">
    <cfRule type="iconSet" priority="74">
      <iconSet showValue="0">
        <cfvo type="percent" val="0"/>
        <cfvo type="num" val="2"/>
        <cfvo type="num" val="3"/>
      </iconSet>
    </cfRule>
  </conditionalFormatting>
  <conditionalFormatting sqref="J209">
    <cfRule type="iconSet" priority="73">
      <iconSet showValue="0">
        <cfvo type="percent" val="0"/>
        <cfvo type="num" val="2"/>
        <cfvo type="num" val="3"/>
      </iconSet>
    </cfRule>
  </conditionalFormatting>
  <conditionalFormatting sqref="J210">
    <cfRule type="iconSet" priority="72">
      <iconSet showValue="0">
        <cfvo type="percent" val="0"/>
        <cfvo type="num" val="2"/>
        <cfvo type="num" val="3"/>
      </iconSet>
    </cfRule>
  </conditionalFormatting>
  <conditionalFormatting sqref="J207">
    <cfRule type="iconSet" priority="71">
      <iconSet showValue="0">
        <cfvo type="percent" val="0"/>
        <cfvo type="num" val="2"/>
        <cfvo type="num" val="3"/>
      </iconSet>
    </cfRule>
  </conditionalFormatting>
  <conditionalFormatting sqref="J220">
    <cfRule type="iconSet" priority="49">
      <iconSet showValue="0">
        <cfvo type="percent" val="0"/>
        <cfvo type="num" val="2"/>
        <cfvo type="num" val="3"/>
      </iconSet>
    </cfRule>
  </conditionalFormatting>
  <conditionalFormatting sqref="J217">
    <cfRule type="iconSet" priority="48">
      <iconSet showValue="0">
        <cfvo type="percent" val="0"/>
        <cfvo type="num" val="2"/>
        <cfvo type="num" val="3"/>
      </iconSet>
    </cfRule>
  </conditionalFormatting>
  <conditionalFormatting sqref="J218">
    <cfRule type="iconSet" priority="47">
      <iconSet showValue="0">
        <cfvo type="percent" val="0"/>
        <cfvo type="num" val="2"/>
        <cfvo type="num" val="3"/>
      </iconSet>
    </cfRule>
  </conditionalFormatting>
  <conditionalFormatting sqref="J222 J225">
    <cfRule type="iconSet" priority="50">
      <iconSet showValue="0">
        <cfvo type="percent" val="0"/>
        <cfvo type="num" val="2"/>
        <cfvo type="num" val="3"/>
      </iconSet>
    </cfRule>
  </conditionalFormatting>
  <conditionalFormatting sqref="J226">
    <cfRule type="iconSet" priority="46">
      <iconSet showValue="0">
        <cfvo type="percent" val="0"/>
        <cfvo type="num" val="2"/>
        <cfvo type="num" val="3"/>
      </iconSet>
    </cfRule>
  </conditionalFormatting>
  <conditionalFormatting sqref="J223">
    <cfRule type="iconSet" priority="44">
      <iconSet showValue="0">
        <cfvo type="percent" val="0"/>
        <cfvo type="num" val="2"/>
        <cfvo type="num" val="3"/>
      </iconSet>
    </cfRule>
  </conditionalFormatting>
  <conditionalFormatting sqref="J234">
    <cfRule type="iconSet" priority="40">
      <iconSet showValue="0">
        <cfvo type="percent" val="0"/>
        <cfvo type="num" val="2"/>
        <cfvo type="num" val="3"/>
      </iconSet>
    </cfRule>
  </conditionalFormatting>
  <conditionalFormatting sqref="J231">
    <cfRule type="iconSet" priority="39">
      <iconSet showValue="0">
        <cfvo type="percent" val="0"/>
        <cfvo type="num" val="2"/>
        <cfvo type="num" val="3"/>
      </iconSet>
    </cfRule>
  </conditionalFormatting>
  <conditionalFormatting sqref="J232">
    <cfRule type="iconSet" priority="38">
      <iconSet showValue="0">
        <cfvo type="percent" val="0"/>
        <cfvo type="num" val="2"/>
        <cfvo type="num" val="3"/>
      </iconSet>
    </cfRule>
  </conditionalFormatting>
  <conditionalFormatting sqref="J236 J239">
    <cfRule type="iconSet" priority="41">
      <iconSet showValue="0">
        <cfvo type="percent" val="0"/>
        <cfvo type="num" val="2"/>
        <cfvo type="num" val="3"/>
      </iconSet>
    </cfRule>
  </conditionalFormatting>
  <conditionalFormatting sqref="J240">
    <cfRule type="iconSet" priority="37">
      <iconSet showValue="0">
        <cfvo type="percent" val="0"/>
        <cfvo type="num" val="2"/>
        <cfvo type="num" val="3"/>
      </iconSet>
    </cfRule>
  </conditionalFormatting>
  <conditionalFormatting sqref="J241">
    <cfRule type="iconSet" priority="36">
      <iconSet showValue="0">
        <cfvo type="percent" val="0"/>
        <cfvo type="num" val="2"/>
        <cfvo type="num" val="3"/>
      </iconSet>
    </cfRule>
  </conditionalFormatting>
  <conditionalFormatting sqref="J237">
    <cfRule type="iconSet" priority="35">
      <iconSet showValue="0">
        <cfvo type="percent" val="0"/>
        <cfvo type="num" val="2"/>
        <cfvo type="num" val="3"/>
      </iconSet>
    </cfRule>
  </conditionalFormatting>
  <conditionalFormatting sqref="J238">
    <cfRule type="iconSet" priority="34">
      <iconSet showValue="0">
        <cfvo type="percent" val="0"/>
        <cfvo type="num" val="2"/>
        <cfvo type="num" val="3"/>
      </iconSet>
    </cfRule>
  </conditionalFormatting>
  <conditionalFormatting sqref="J235">
    <cfRule type="iconSet" priority="33">
      <iconSet showValue="0">
        <cfvo type="percent" val="0"/>
        <cfvo type="num" val="2"/>
        <cfvo type="num" val="3"/>
      </iconSet>
    </cfRule>
  </conditionalFormatting>
  <conditionalFormatting sqref="J248">
    <cfRule type="iconSet" priority="31">
      <iconSet showValue="0">
        <cfvo type="percent" val="0"/>
        <cfvo type="num" val="2"/>
        <cfvo type="num" val="3"/>
      </iconSet>
    </cfRule>
  </conditionalFormatting>
  <conditionalFormatting sqref="J245">
    <cfRule type="iconSet" priority="30">
      <iconSet showValue="0">
        <cfvo type="percent" val="0"/>
        <cfvo type="num" val="2"/>
        <cfvo type="num" val="3"/>
      </iconSet>
    </cfRule>
  </conditionalFormatting>
  <conditionalFormatting sqref="J246">
    <cfRule type="iconSet" priority="29">
      <iconSet showValue="0">
        <cfvo type="percent" val="0"/>
        <cfvo type="num" val="2"/>
        <cfvo type="num" val="3"/>
      </iconSet>
    </cfRule>
  </conditionalFormatting>
  <conditionalFormatting sqref="J250 J253">
    <cfRule type="iconSet" priority="32">
      <iconSet showValue="0">
        <cfvo type="percent" val="0"/>
        <cfvo type="num" val="2"/>
        <cfvo type="num" val="3"/>
      </iconSet>
    </cfRule>
  </conditionalFormatting>
  <conditionalFormatting sqref="J254">
    <cfRule type="iconSet" priority="28">
      <iconSet showValue="0">
        <cfvo type="percent" val="0"/>
        <cfvo type="num" val="2"/>
        <cfvo type="num" val="3"/>
      </iconSet>
    </cfRule>
  </conditionalFormatting>
  <conditionalFormatting sqref="J255">
    <cfRule type="iconSet" priority="27">
      <iconSet showValue="0">
        <cfvo type="percent" val="0"/>
        <cfvo type="num" val="2"/>
        <cfvo type="num" val="3"/>
      </iconSet>
    </cfRule>
  </conditionalFormatting>
  <conditionalFormatting sqref="J251">
    <cfRule type="iconSet" priority="26">
      <iconSet showValue="0">
        <cfvo type="percent" val="0"/>
        <cfvo type="num" val="2"/>
        <cfvo type="num" val="3"/>
      </iconSet>
    </cfRule>
  </conditionalFormatting>
  <conditionalFormatting sqref="J252">
    <cfRule type="iconSet" priority="25">
      <iconSet showValue="0">
        <cfvo type="percent" val="0"/>
        <cfvo type="num" val="2"/>
        <cfvo type="num" val="3"/>
      </iconSet>
    </cfRule>
  </conditionalFormatting>
  <conditionalFormatting sqref="J249">
    <cfRule type="iconSet" priority="24">
      <iconSet showValue="0">
        <cfvo type="percent" val="0"/>
        <cfvo type="num" val="2"/>
        <cfvo type="num" val="3"/>
      </iconSet>
    </cfRule>
  </conditionalFormatting>
  <conditionalFormatting sqref="J262">
    <cfRule type="iconSet" priority="22">
      <iconSet showValue="0">
        <cfvo type="percent" val="0"/>
        <cfvo type="num" val="2"/>
        <cfvo type="num" val="3"/>
      </iconSet>
    </cfRule>
  </conditionalFormatting>
  <conditionalFormatting sqref="J259">
    <cfRule type="iconSet" priority="21">
      <iconSet showValue="0">
        <cfvo type="percent" val="0"/>
        <cfvo type="num" val="2"/>
        <cfvo type="num" val="3"/>
      </iconSet>
    </cfRule>
  </conditionalFormatting>
  <conditionalFormatting sqref="J260">
    <cfRule type="iconSet" priority="20">
      <iconSet showValue="0">
        <cfvo type="percent" val="0"/>
        <cfvo type="num" val="2"/>
        <cfvo type="num" val="3"/>
      </iconSet>
    </cfRule>
  </conditionalFormatting>
  <conditionalFormatting sqref="J264 J267">
    <cfRule type="iconSet" priority="23">
      <iconSet showValue="0">
        <cfvo type="percent" val="0"/>
        <cfvo type="num" val="2"/>
        <cfvo type="num" val="3"/>
      </iconSet>
    </cfRule>
  </conditionalFormatting>
  <conditionalFormatting sqref="J268">
    <cfRule type="iconSet" priority="19">
      <iconSet showValue="0">
        <cfvo type="percent" val="0"/>
        <cfvo type="num" val="2"/>
        <cfvo type="num" val="3"/>
      </iconSet>
    </cfRule>
  </conditionalFormatting>
  <conditionalFormatting sqref="J269">
    <cfRule type="iconSet" priority="18">
      <iconSet showValue="0">
        <cfvo type="percent" val="0"/>
        <cfvo type="num" val="2"/>
        <cfvo type="num" val="3"/>
      </iconSet>
    </cfRule>
  </conditionalFormatting>
  <conditionalFormatting sqref="J265">
    <cfRule type="iconSet" priority="17">
      <iconSet showValue="0">
        <cfvo type="percent" val="0"/>
        <cfvo type="num" val="2"/>
        <cfvo type="num" val="3"/>
      </iconSet>
    </cfRule>
  </conditionalFormatting>
  <conditionalFormatting sqref="J266">
    <cfRule type="iconSet" priority="16">
      <iconSet showValue="0">
        <cfvo type="percent" val="0"/>
        <cfvo type="num" val="2"/>
        <cfvo type="num" val="3"/>
      </iconSet>
    </cfRule>
  </conditionalFormatting>
  <conditionalFormatting sqref="J263">
    <cfRule type="iconSet" priority="15">
      <iconSet showValue="0">
        <cfvo type="percent" val="0"/>
        <cfvo type="num" val="2"/>
        <cfvo type="num" val="3"/>
      </iconSet>
    </cfRule>
  </conditionalFormatting>
  <conditionalFormatting sqref="J276">
    <cfRule type="iconSet" priority="13">
      <iconSet showValue="0">
        <cfvo type="percent" val="0"/>
        <cfvo type="num" val="2"/>
        <cfvo type="num" val="3"/>
      </iconSet>
    </cfRule>
  </conditionalFormatting>
  <conditionalFormatting sqref="J273">
    <cfRule type="iconSet" priority="12">
      <iconSet showValue="0">
        <cfvo type="percent" val="0"/>
        <cfvo type="num" val="2"/>
        <cfvo type="num" val="3"/>
      </iconSet>
    </cfRule>
  </conditionalFormatting>
  <conditionalFormatting sqref="J274">
    <cfRule type="iconSet" priority="11">
      <iconSet showValue="0">
        <cfvo type="percent" val="0"/>
        <cfvo type="num" val="2"/>
        <cfvo type="num" val="3"/>
      </iconSet>
    </cfRule>
  </conditionalFormatting>
  <conditionalFormatting sqref="J278 J281">
    <cfRule type="iconSet" priority="14">
      <iconSet showValue="0">
        <cfvo type="percent" val="0"/>
        <cfvo type="num" val="2"/>
        <cfvo type="num" val="3"/>
      </iconSet>
    </cfRule>
  </conditionalFormatting>
  <conditionalFormatting sqref="J282">
    <cfRule type="iconSet" priority="10">
      <iconSet showValue="0">
        <cfvo type="percent" val="0"/>
        <cfvo type="num" val="2"/>
        <cfvo type="num" val="3"/>
      </iconSet>
    </cfRule>
  </conditionalFormatting>
  <conditionalFormatting sqref="J283:J284">
    <cfRule type="iconSet" priority="9">
      <iconSet showValue="0">
        <cfvo type="percent" val="0"/>
        <cfvo type="num" val="2"/>
        <cfvo type="num" val="3"/>
      </iconSet>
    </cfRule>
  </conditionalFormatting>
  <conditionalFormatting sqref="J279">
    <cfRule type="iconSet" priority="8">
      <iconSet showValue="0">
        <cfvo type="percent" val="0"/>
        <cfvo type="num" val="2"/>
        <cfvo type="num" val="3"/>
      </iconSet>
    </cfRule>
  </conditionalFormatting>
  <conditionalFormatting sqref="J280">
    <cfRule type="iconSet" priority="7">
      <iconSet showValue="0">
        <cfvo type="percent" val="0"/>
        <cfvo type="num" val="2"/>
        <cfvo type="num" val="3"/>
      </iconSet>
    </cfRule>
  </conditionalFormatting>
  <conditionalFormatting sqref="J277">
    <cfRule type="iconSet" priority="6">
      <iconSet showValue="0">
        <cfvo type="percent" val="0"/>
        <cfvo type="num" val="2"/>
        <cfvo type="num" val="3"/>
      </iconSet>
    </cfRule>
  </conditionalFormatting>
  <conditionalFormatting sqref="J383:J384 J376 J381">
    <cfRule type="iconSet" priority="1006">
      <iconSet showValue="0">
        <cfvo type="percent" val="0"/>
        <cfvo type="num" val="2"/>
        <cfvo type="num" val="3"/>
      </iconSet>
    </cfRule>
  </conditionalFormatting>
  <conditionalFormatting sqref="J221">
    <cfRule type="iconSet" priority="5">
      <iconSet showValue="0">
        <cfvo type="percent" val="0"/>
        <cfvo type="num" val="2"/>
        <cfvo type="num" val="3"/>
      </iconSet>
    </cfRule>
  </conditionalFormatting>
  <conditionalFormatting sqref="J224">
    <cfRule type="iconSet" priority="4">
      <iconSet showValue="0">
        <cfvo type="percent" val="0"/>
        <cfvo type="num" val="2"/>
        <cfvo type="num" val="3"/>
      </iconSet>
    </cfRule>
  </conditionalFormatting>
  <conditionalFormatting sqref="J227">
    <cfRule type="iconSet" priority="3">
      <iconSet showValue="0">
        <cfvo type="percent" val="0"/>
        <cfvo type="num" val="2"/>
        <cfvo type="num" val="3"/>
      </iconSet>
    </cfRule>
  </conditionalFormatting>
  <conditionalFormatting sqref="J53">
    <cfRule type="iconSet" priority="1026">
      <iconSet showValue="0">
        <cfvo type="percent" val="0"/>
        <cfvo type="num" val="2"/>
        <cfvo type="num" val="3"/>
      </iconSet>
    </cfRule>
  </conditionalFormatting>
  <conditionalFormatting sqref="J415:J416">
    <cfRule type="iconSet" priority="1029">
      <iconSet showValue="0">
        <cfvo type="percent" val="0"/>
        <cfvo type="num" val="2"/>
        <cfvo type="num" val="3"/>
      </iconSet>
    </cfRule>
  </conditionalFormatting>
  <conditionalFormatting sqref="J417">
    <cfRule type="iconSet" priority="1030">
      <iconSet showValue="0">
        <cfvo type="percent" val="0"/>
        <cfvo type="num" val="2"/>
        <cfvo type="num" val="3"/>
      </iconSet>
    </cfRule>
  </conditionalFormatting>
  <conditionalFormatting sqref="J100">
    <cfRule type="iconSet" priority="2">
      <iconSet showValue="0">
        <cfvo type="percent" val="0"/>
        <cfvo type="num" val="2"/>
        <cfvo type="num" val="3"/>
      </iconSet>
    </cfRule>
  </conditionalFormatting>
  <conditionalFormatting sqref="J101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  <ignoredErrors>
    <ignoredError sqref="O192:P192 L192 L350:L351 L96 L355 L380 L311 L333 L27" twoDigitTextYear="1"/>
  </ignoredErrors>
  <tableParts count="4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1c889d-4c47-4c02-822b-2f0830bf9be7" xsi:nil="true"/>
    <lcf76f155ced4ddcb4097134ff3c332f xmlns="76fa9942-42dc-4eef-af2b-f8a7279006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1B7D92FDACDA459E59BADC87B106F2" ma:contentTypeVersion="16" ma:contentTypeDescription="Een nieuw document maken." ma:contentTypeScope="" ma:versionID="311cf92cfb42cbeeee7c56e3b3e80f72">
  <xsd:schema xmlns:xsd="http://www.w3.org/2001/XMLSchema" xmlns:xs="http://www.w3.org/2001/XMLSchema" xmlns:p="http://schemas.microsoft.com/office/2006/metadata/properties" xmlns:ns2="76fa9942-42dc-4eef-af2b-f8a72790060a" xmlns:ns3="831c889d-4c47-4c02-822b-2f0830bf9be7" targetNamespace="http://schemas.microsoft.com/office/2006/metadata/properties" ma:root="true" ma:fieldsID="fc1fb2abe9ff9ebaa82f30b85b9f8405" ns2:_="" ns3:_="">
    <xsd:import namespace="76fa9942-42dc-4eef-af2b-f8a72790060a"/>
    <xsd:import namespace="831c889d-4c47-4c02-822b-2f0830bf9b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a9942-42dc-4eef-af2b-f8a7279006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e71100c0-9d06-4e46-8297-aa6776e0d6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c889d-4c47-4c02-822b-2f0830bf9be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5081da-58cf-4300-96da-767cb3492feb}" ma:internalName="TaxCatchAll" ma:showField="CatchAllData" ma:web="831c889d-4c47-4c02-822b-2f0830bf9b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C8B56-BFC7-47EA-82D2-D4EB047F39E3}">
  <ds:schemaRefs>
    <ds:schemaRef ds:uri="http://schemas.microsoft.com/office/2006/metadata/properties"/>
    <ds:schemaRef ds:uri="http://schemas.microsoft.com/office/infopath/2007/PartnerControls"/>
    <ds:schemaRef ds:uri="831c889d-4c47-4c02-822b-2f0830bf9be7"/>
    <ds:schemaRef ds:uri="76fa9942-42dc-4eef-af2b-f8a72790060a"/>
  </ds:schemaRefs>
</ds:datastoreItem>
</file>

<file path=customXml/itemProps2.xml><?xml version="1.0" encoding="utf-8"?>
<ds:datastoreItem xmlns:ds="http://schemas.openxmlformats.org/officeDocument/2006/customXml" ds:itemID="{B86A6429-EDCC-4BD2-88F0-05556B930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a9942-42dc-4eef-af2b-f8a72790060a"/>
    <ds:schemaRef ds:uri="831c889d-4c47-4c02-822b-2f0830bf9b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683BA-99D4-416E-B2F0-1D5127F97A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Instructie</vt:lpstr>
      <vt:lpstr>SAMENVATTING</vt:lpstr>
      <vt:lpstr>Grote lisdodde</vt:lpstr>
      <vt:lpstr>Kleine lisdodde</vt:lpstr>
      <vt:lpstr>Riet</vt:lpstr>
      <vt:lpstr>Miscanthus</vt:lpstr>
      <vt:lpstr>Hennep</vt:lpstr>
      <vt:lpstr>Gewas vrij invulbaar</vt:lpstr>
      <vt:lpstr>Vergelijk Melkvee BBPR</vt:lpstr>
      <vt:lpstr>Marktomvang</vt:lpstr>
      <vt:lpstr>DATA - Variabelen &amp; waarden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Job van de Crommert</dc:creator>
  <cp:keywords/>
  <dc:description/>
  <cp:lastModifiedBy>Sanders, Ida</cp:lastModifiedBy>
  <cp:revision/>
  <dcterms:created xsi:type="dcterms:W3CDTF">2021-03-19T05:49:49Z</dcterms:created>
  <dcterms:modified xsi:type="dcterms:W3CDTF">2023-01-23T16:16:29Z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0x010100191B7D92FDACDA459E59BADC87B106F2</vt:lpwstr>
  </property>
</Properties>
</file>